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5" windowWidth="9720" windowHeight="7320" activeTab="0"/>
  </bookViews>
  <sheets>
    <sheet name="KJ 2002" sheetId="1" r:id="rId1"/>
    <sheet name="Group Points" sheetId="2" r:id="rId2"/>
  </sheets>
  <definedNames>
    <definedName name="A2_Against">'KJ 2002'!$E$7,'KJ 2002'!$E$26,'KJ 2002'!$F$39</definedName>
    <definedName name="A2_Played">'KJ 2002'!$F$7,'KJ 2002'!$F$26,'KJ 2002'!$E$39</definedName>
    <definedName name="Argentina_Against">'KJ 2002'!$F$13,'KJ 2002'!$F$29,'KJ 2002'!$E$44</definedName>
    <definedName name="Argentina_Played">'KJ 2002'!$E$13,'KJ 2002'!$E$29,'KJ 2002'!$F$44</definedName>
    <definedName name="Belgium_Against">'KJ 2002'!$E$19,'KJ 2002'!$E$37,'KJ 2002'!$F$51</definedName>
    <definedName name="Belgium_Played">'KJ 2002'!$F$19,'KJ 2002'!$F$37,'KJ 2002'!$E$51</definedName>
    <definedName name="Brazil_Against">'KJ 2002'!$F$16,'KJ 2002'!$F$32,'KJ 2002'!$E$48</definedName>
    <definedName name="Brazil_Played">'KJ 2002'!$E$16,'KJ 2002'!$E$32,'KJ 2002'!$F$48</definedName>
    <definedName name="Cameroon_Against">'KJ 2002'!$E$8,'KJ 2002'!$F$25,'KJ 2002'!$F$42</definedName>
    <definedName name="Cameroon_Played">'KJ 2002'!$F$8,'KJ 2002'!$E$25,'KJ 2002'!$E$42</definedName>
    <definedName name="China_Against">'KJ 2002'!$F$18,'KJ 2002'!$E$32,'KJ 2002'!$E$47</definedName>
    <definedName name="China_Played">'KJ 2002'!$E$18,'KJ 2002'!$F$32,'KJ 2002'!$F$47</definedName>
    <definedName name="Costa_Rica_Against">'KJ 2002'!$E$18,'KJ 2002'!$F$34,'KJ 2002'!$F$48</definedName>
    <definedName name="Costa_Rica_Played">'KJ 2002'!$F$18,'KJ 2002'!$E$34,'KJ 2002'!$E$48</definedName>
    <definedName name="Croatia_Against">'KJ 2002'!$F$15,'KJ 2002'!$E$31,'KJ 2002'!$E$49</definedName>
    <definedName name="Croatia_Played">'KJ 2002'!$E$15,'KJ 2002'!$F$31,'KJ 2002'!$F$49</definedName>
    <definedName name="Denmark_Against">'KJ 2002'!$E$9,'KJ 2002'!$F$26,'KJ 2002'!$F$40</definedName>
    <definedName name="Denmark_Played">'KJ 2002'!$F$9,'KJ 2002'!$E$26,'KJ 2002'!$E$40</definedName>
    <definedName name="Drawpoints">'Group Points'!$B$5</definedName>
    <definedName name="Ecuador_Against">'KJ 2002'!$E$17,'KJ 2002'!$E$33,'KJ 2002'!$F$49</definedName>
    <definedName name="Ecuador_Played">'KJ 2002'!$F$17,'KJ 2002'!$F$33,'KJ 2002'!$E$49</definedName>
    <definedName name="England_Against">'KJ 2002'!$F$11,'KJ 2002'!$E$29,'KJ 2002'!$E$43</definedName>
    <definedName name="England_Played">'KJ 2002'!$E$11,'KJ 2002'!$F$29,'KJ 2002'!$F$43</definedName>
    <definedName name="France_Against">'KJ 2002'!$F$7,'KJ 2002'!$F$24,'KJ 2002'!$E$40</definedName>
    <definedName name="France_Played">'KJ 2002'!$E$7,'KJ 2002'!$E$24,'KJ 2002'!$F$40</definedName>
    <definedName name="France_Results">'KJ 2002'!$J$7,'KJ 2002'!$J$24,'KJ 2002'!$J$40</definedName>
    <definedName name="Germany_Against">'KJ 2002'!$F$10,'KJ 2002'!$F$23,'KJ 2002'!$E$42</definedName>
    <definedName name="Germany_Played">'KJ 2002'!$E$10,'KJ 2002'!$E$23,'KJ 2002'!$F$42</definedName>
    <definedName name="Groupstage_Losers">'KJ 2002'!$K$7:$K$54</definedName>
    <definedName name="Groupstage_Winners">'KJ 2002'!$J$7:$J$54</definedName>
    <definedName name="Ireland_Against">'KJ 2002'!$F$8,'KJ 2002'!$E$23,'KJ 2002'!$E$41</definedName>
    <definedName name="Ireland_Played">'KJ 2002'!$E$8,'KJ 2002'!$F$23,'KJ 2002'!$F$41</definedName>
    <definedName name="Italy_Against">'KJ 2002'!$F$17,'KJ 2002'!$F$31,'KJ 2002'!$E$50</definedName>
    <definedName name="Italy_Played">'KJ 2002'!$E$17,'KJ 2002'!$E$31,'KJ 2002'!$F$50</definedName>
    <definedName name="Japan_Against">'KJ 2002'!$F$19,'KJ 2002'!$F$35,'KJ 2002'!$E$52</definedName>
    <definedName name="Japan_Played">'KJ 2002'!$E$19,'KJ 2002'!$E$35,'KJ 2002'!$F$52</definedName>
    <definedName name="Mexico_Against">'KJ 2002'!$E$15,'KJ 2002'!$F$33,'KJ 2002'!$F$50</definedName>
    <definedName name="Mexico_Played">'KJ 2002'!$F$15,'KJ 2002'!$E$33,'KJ 2002'!$E$50</definedName>
    <definedName name="Nigeria_Against">'KJ 2002'!$E$13,'KJ 2002'!$E$27,'KJ 2002'!$F$43</definedName>
    <definedName name="Nigeria_Played">'KJ 2002'!$F$13,'KJ 2002'!$F$27,'KJ 2002'!$E$43</definedName>
    <definedName name="Paraguay_Against">'KJ 2002'!$F$12,'KJ 2002'!$E$28,'KJ 2002'!$E$45</definedName>
    <definedName name="Paraguay_Played">'KJ 2002'!$E$12,'KJ 2002'!$F$28,'KJ 2002'!$F$45</definedName>
    <definedName name="Poland_Against">'KJ 2002'!$E$20,'KJ 2002'!$E$38,'KJ 2002'!$F$53</definedName>
    <definedName name="Poland_Played">'KJ 2002'!$F$20,'KJ 2002'!$F$38,'KJ 2002'!$E$53</definedName>
    <definedName name="Portugal_Against">'KJ 2002'!$E$22,'KJ 2002'!$F$38,'KJ 2002'!$F$54</definedName>
    <definedName name="Portugal_Played">'KJ 2002'!$F$22,'KJ 2002'!$E$38,'KJ 2002'!$E$54</definedName>
    <definedName name="_xlnm.Print_Area" localSheetId="0">'KJ 2002'!$B$1:$BU$91</definedName>
    <definedName name="Russia_Against">'KJ 2002'!$F$21,'KJ 2002'!$E$35,'KJ 2002'!$E$51</definedName>
    <definedName name="Russia_Played">'KJ 2002'!$E$21,'KJ 2002'!$F$35,'KJ 2002'!$F$51</definedName>
    <definedName name="Saudi_Arabia_Against">'KJ 2002'!$E$10,'KJ 2002'!$E$25,'KJ 2002'!$F$41</definedName>
    <definedName name="Saudi_Arabia_Played">'KJ 2002'!$F$10,'KJ 2002'!$F$25,'KJ 2002'!$E$41</definedName>
    <definedName name="Senegal_Against">'KJ 2002'!$E$7,'KJ 2002'!$E$26,'KJ 2002'!$F$39</definedName>
    <definedName name="Senegal_Played">'KJ 2002'!$F$7,'KJ 2002'!$F$26,'KJ 2002'!$E$39</definedName>
    <definedName name="Slovenia_Against">'KJ 2002'!$E$14,'KJ 2002'!$E$30,'KJ 2002'!$F$45</definedName>
    <definedName name="Slovenia_Played">'KJ 2002'!$F$14,'KJ 2002'!$F$30,'KJ 2002'!$E$45</definedName>
    <definedName name="South_Africa_Against">'KJ 2002'!$E$12,'KJ 2002'!$F$30,'KJ 2002'!$F$46</definedName>
    <definedName name="South_Africa_Played">'KJ 2002'!$F$12,'KJ 2002'!$E$30,'KJ 2002'!$E$46</definedName>
    <definedName name="South_Korea_Against">'KJ 2002'!$F$20,'KJ 2002'!$F$36,'KJ 2002'!$E$54</definedName>
    <definedName name="South_Korea_Played">'KJ 2002'!$E$20,'KJ 2002'!$E$36,'KJ 2002'!$F$54</definedName>
    <definedName name="Spain_Against">'KJ 2002'!$F$14,'KJ 2002'!$F$28,'KJ 2002'!$E$46</definedName>
    <definedName name="Spain_Played">'KJ 2002'!$E$14,'KJ 2002'!$E$28,'KJ 2002'!$F$46</definedName>
    <definedName name="Sweden_Against">'KJ 2002'!$E$11,'KJ 2002'!$F$27,'KJ 2002'!$F$44</definedName>
    <definedName name="Sweden_Played">'KJ 2002'!$F$11,'KJ 2002'!$E$27,'KJ 2002'!$E$44</definedName>
    <definedName name="Tunisia_Against">'KJ 2002'!$E$21,'KJ 2002'!$F$37,'KJ 2002'!$F$52</definedName>
    <definedName name="Tunisia_Played">'KJ 2002'!$F$21,'KJ 2002'!$E$37,'KJ 2002'!$E$52</definedName>
    <definedName name="Turkey_Against">'KJ 2002'!$E$16,'KJ 2002'!$E$34,'KJ 2002'!$F$47</definedName>
    <definedName name="Turkey_Played">'KJ 2002'!$F$16,'KJ 2002'!$F$34,'KJ 2002'!$E$47</definedName>
    <definedName name="Uruguay_Against">'KJ 2002'!$F$9,'KJ 2002'!$E$24,'KJ 2002'!$E$39</definedName>
    <definedName name="Uruguay_Played">'KJ 2002'!$E$9,'KJ 2002'!$F$24,'KJ 2002'!$F$39</definedName>
    <definedName name="USA_Against">'KJ 2002'!$F$22,'KJ 2002'!$E$36,'KJ 2002'!$E$53</definedName>
    <definedName name="USA_Played">'KJ 2002'!$E$22,'KJ 2002'!$F$36,'KJ 2002'!$F$53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<sst xmlns="http://schemas.openxmlformats.org/spreadsheetml/2006/main" count="495" uniqueCount="103">
  <si>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</si>
  <si>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</si>
  <si>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</si>
  <si>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</si>
  <si>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</si>
  <si>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</si>
  <si>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</si>
  <si>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</si>
  <si>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</si>
  <si>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</si>
  <si>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</si>
  <si>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</si>
  <si>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Stage</t>
  </si>
  <si>
    <t>Group A</t>
  </si>
  <si>
    <t>Date</t>
  </si>
  <si>
    <t>Time</t>
  </si>
  <si>
    <t>Venue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</si>
  <si>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</si>
  <si>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</si>
  <si>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</si>
  <si>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</si>
  <si>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</si>
  <si>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</si>
  <si>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</si>
  <si>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</si>
  <si>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</si>
  <si>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B</t>
  </si>
  <si>
    <t>Played</t>
  </si>
  <si>
    <t>Points</t>
  </si>
  <si>
    <t>Team</t>
  </si>
  <si>
    <t>France</t>
  </si>
  <si>
    <t>Group B</t>
  </si>
  <si>
    <t>C</t>
  </si>
  <si>
    <t>Group C</t>
  </si>
  <si>
    <t>Group D</t>
  </si>
  <si>
    <t>Quarter-Finals</t>
  </si>
  <si>
    <t>Semi-Finals</t>
  </si>
  <si>
    <t>Final</t>
  </si>
  <si>
    <t>Winner:</t>
  </si>
  <si>
    <t>Groupstage</t>
  </si>
  <si>
    <t>Points for a win</t>
  </si>
  <si>
    <t>Points for a draw</t>
  </si>
  <si>
    <t>Korea / Japan 2002 Electronic Wallchart</t>
  </si>
  <si>
    <t>Seoul</t>
  </si>
  <si>
    <t>Niigata</t>
  </si>
  <si>
    <t>Ulsan</t>
  </si>
  <si>
    <t>E</t>
  </si>
  <si>
    <t>Sapporo</t>
  </si>
  <si>
    <t>Saitama</t>
  </si>
  <si>
    <t>Pusan</t>
  </si>
  <si>
    <t>Ibaraki</t>
  </si>
  <si>
    <t>Gwangju</t>
  </si>
  <si>
    <t>South Korea</t>
  </si>
  <si>
    <t>G</t>
  </si>
  <si>
    <t>H</t>
  </si>
  <si>
    <t>Japan</t>
  </si>
  <si>
    <t>Kobe</t>
  </si>
  <si>
    <t>Suwon</t>
  </si>
  <si>
    <t>Daegu</t>
  </si>
  <si>
    <t>Jeonju</t>
  </si>
  <si>
    <t>Seogwipo</t>
  </si>
  <si>
    <t>Incheon</t>
  </si>
  <si>
    <t>Miyagi</t>
  </si>
  <si>
    <t>Yokohama</t>
  </si>
  <si>
    <t>Oita</t>
  </si>
  <si>
    <t>Shizuoka</t>
  </si>
  <si>
    <t>Osaka</t>
  </si>
  <si>
    <t>Daejeon</t>
  </si>
  <si>
    <t>Second Round</t>
  </si>
  <si>
    <t>Deajeon</t>
  </si>
  <si>
    <t>Group E</t>
  </si>
  <si>
    <t>Group F</t>
  </si>
  <si>
    <t>Group G</t>
  </si>
  <si>
    <t>Group H</t>
  </si>
  <si>
    <t>Senegal</t>
  </si>
  <si>
    <t>Uruguay</t>
  </si>
  <si>
    <t>Denmark</t>
  </si>
  <si>
    <t>Spain</t>
  </si>
  <si>
    <t>Slovenia</t>
  </si>
  <si>
    <t>Paraguay</t>
  </si>
  <si>
    <t>South Africa</t>
  </si>
  <si>
    <t>Brazil</t>
  </si>
  <si>
    <t>Turkey</t>
  </si>
  <si>
    <t>China</t>
  </si>
  <si>
    <t>Costa Rica</t>
  </si>
  <si>
    <t>Poland</t>
  </si>
  <si>
    <t>USA</t>
  </si>
  <si>
    <t>Portugal</t>
  </si>
  <si>
    <t>Germany</t>
  </si>
  <si>
    <t>Saudi Arabia</t>
  </si>
  <si>
    <t>Ireland</t>
  </si>
  <si>
    <t>Cameroon</t>
  </si>
  <si>
    <t>Argentina</t>
  </si>
  <si>
    <t>Nigeria</t>
  </si>
  <si>
    <t>England</t>
  </si>
  <si>
    <t>Sweden</t>
  </si>
  <si>
    <t>Italy</t>
  </si>
  <si>
    <t>Ecuador</t>
  </si>
  <si>
    <t>Croatia</t>
  </si>
  <si>
    <t>Mexico</t>
  </si>
  <si>
    <t>Belgium</t>
  </si>
  <si>
    <t>Russia</t>
  </si>
  <si>
    <t>Tunisia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</si>
</sst>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17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83</xdr:row>
      <xdr:rowOff>104775</xdr:rowOff>
    </xdr:from>
    <xdr:to>
      <xdr:col>20</xdr:col>
      <xdr:colOff>114300</xdr:colOff>
      <xdr:row>87</xdr:row>
      <xdr:rowOff>28575</xdr:rowOff>
    </xdr:to>
    <xdr:pic>
      <xdr:nvPicPr>
        <xdr:cNvPr id="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51161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219075</xdr:colOff>
      <xdr:row>3</xdr:row>
      <xdr:rowOff>0</xdr:rowOff>
    </xdr:to>
    <xdr:pic>
      <xdr:nvPicPr>
        <xdr:cNvPr id="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133350</xdr:rowOff>
    </xdr:from>
    <xdr:to>
      <xdr:col>72</xdr:col>
      <xdr:colOff>466725</xdr:colOff>
      <xdr:row>1</xdr:row>
      <xdr:rowOff>9525</xdr:rowOff>
    </xdr:to>
    <xdr:pic>
      <xdr:nvPicPr>
        <xdr:cNvPr id="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1333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123825</xdr:rowOff>
    </xdr:from>
    <xdr:to>
      <xdr:col>20</xdr:col>
      <xdr:colOff>38100</xdr:colOff>
      <xdr:row>0</xdr:row>
      <xdr:rowOff>695325</xdr:rowOff>
    </xdr:to>
    <xdr:pic>
      <xdr:nvPicPr>
        <xdr:cNvPr id="4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2382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68</xdr:row>
      <xdr:rowOff>104775</xdr:rowOff>
    </xdr:from>
    <xdr:to>
      <xdr:col>20</xdr:col>
      <xdr:colOff>0</xdr:colOff>
      <xdr:row>81</xdr:row>
      <xdr:rowOff>9525</xdr:rowOff>
    </xdr:to>
    <xdr:pic>
      <xdr:nvPicPr>
        <xdr:cNvPr id="5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2496800"/>
          <a:ext cx="1609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91"/>
  <sheetViews>
    <sheetView showGridLines="0" showRowColHeaders="0" tabSelected="1" showOutlineSymbols="0" zoomScale="50" zoomScaleNormal="50" workbookViewId="0" topLeftCell="A1">
      <selection activeCell="CC18" sqref="CC18"/>
    </sheetView>
  </sheetViews>
  <sheetFormatPr defaultColWidth="9.140625" defaultRowHeight="12.75"/>
  <cols>
    <col min="1" max="3" width="9.140625" style="1" customWidth="1"/>
    <col min="4" max="4" width="15.57421875" style="23" customWidth="1"/>
    <col min="5" max="5" width="3.00390625" style="23" customWidth="1"/>
    <col min="6" max="6" width="3.00390625" style="1" customWidth="1"/>
    <col min="7" max="7" width="15.57421875" style="23" customWidth="1"/>
    <col min="8" max="8" width="10.57421875" style="1" customWidth="1"/>
    <col min="9" max="9" width="4.28125" style="1" customWidth="1"/>
    <col min="10" max="10" width="10.8515625" style="1" hidden="1" customWidth="1"/>
    <col min="11" max="11" width="9.140625" style="1" hidden="1" customWidth="1"/>
    <col min="12" max="12" width="6.28125" style="1" customWidth="1"/>
    <col min="13" max="13" width="14.00390625" style="1" customWidth="1"/>
    <col min="14" max="14" width="2.28125" style="1" customWidth="1"/>
    <col min="15" max="15" width="2.8515625" style="1" customWidth="1"/>
    <col min="16" max="16" width="2.00390625" style="1" customWidth="1"/>
    <col min="17" max="19" width="2.28125" style="1" customWidth="1"/>
    <col min="20" max="20" width="3.7109375" style="1" customWidth="1"/>
    <col min="21" max="21" width="3.8515625" style="1" customWidth="1"/>
    <col min="22" max="22" width="6.28125" style="1" customWidth="1"/>
    <col min="23" max="24" width="9.140625" style="1" hidden="1" customWidth="1"/>
    <col min="25" max="25" width="2.8515625" style="1" hidden="1" customWidth="1"/>
    <col min="26" max="26" width="2.00390625" style="1" hidden="1" customWidth="1"/>
    <col min="27" max="27" width="2.28125" style="1" hidden="1" customWidth="1"/>
    <col min="28" max="28" width="2.140625" style="1" hidden="1" customWidth="1"/>
    <col min="29" max="29" width="2.28125" style="1" hidden="1" customWidth="1"/>
    <col min="30" max="30" width="3.7109375" style="1" hidden="1" customWidth="1"/>
    <col min="31" max="31" width="6.28125" style="1" hidden="1" customWidth="1"/>
    <col min="32" max="72" width="9.140625" style="1" hidden="1" customWidth="1"/>
    <col min="73" max="16384" width="9.140625" style="1" customWidth="1"/>
  </cols>
  <sheetData>
    <row r="1" spans="5:12" ht="54.75" customHeight="1">
      <c r="E1" s="33" t="s">
        <v>42</v>
      </c>
      <c r="F1" s="33"/>
      <c r="G1" s="33"/>
      <c r="H1" s="33"/>
      <c r="I1" s="33"/>
      <c r="J1" s="33"/>
      <c r="K1" s="33"/>
      <c r="L1" s="33"/>
    </row>
    <row r="2" ht="12.75"/>
    <row r="3" spans="10:57" ht="11.25" customHeight="1">
      <c r="J3" s="1" t="s">
        <v>0</v>
      </c>
      <c r="K3" s="1" t="s">
        <v>1</v>
      </c>
      <c r="W3" s="1" t="s">
        <v>2</v>
      </c>
      <c r="AF3" s="1" t="s">
        <v>3</v>
      </c>
      <c r="AH3" s="1" t="s">
        <v>4</v>
      </c>
      <c r="AJ3" s="1" t="s">
        <v>5</v>
      </c>
      <c r="AM3" s="1" t="s">
        <v>6</v>
      </c>
      <c r="AP3" s="1" t="s">
        <v>7</v>
      </c>
      <c r="AS3" s="1" t="s">
        <v>8</v>
      </c>
      <c r="AW3" s="1" t="s">
        <v>9</v>
      </c>
      <c r="BA3" s="1" t="s">
        <v>10</v>
      </c>
      <c r="BE3" s="1" t="s">
        <v>11</v>
      </c>
    </row>
    <row r="4" spans="2:21" ht="15">
      <c r="B4" s="30" t="s">
        <v>12</v>
      </c>
      <c r="C4" s="31"/>
      <c r="D4" s="31"/>
      <c r="E4" s="31"/>
      <c r="F4" s="31"/>
      <c r="G4" s="31"/>
      <c r="H4" s="31"/>
      <c r="I4" s="32"/>
      <c r="M4" s="2" t="s">
        <v>13</v>
      </c>
      <c r="N4" s="3"/>
      <c r="O4" s="3"/>
      <c r="P4" s="3"/>
      <c r="Q4" s="3"/>
      <c r="R4" s="3"/>
      <c r="S4" s="3"/>
      <c r="T4" s="3"/>
      <c r="U4" s="4"/>
    </row>
    <row r="5" spans="2:21" ht="15">
      <c r="B5" s="34" t="s">
        <v>14</v>
      </c>
      <c r="C5" s="35" t="s">
        <v>15</v>
      </c>
      <c r="D5" s="36"/>
      <c r="E5" s="36"/>
      <c r="F5" s="36"/>
      <c r="G5" s="36"/>
      <c r="H5" s="36" t="s">
        <v>16</v>
      </c>
      <c r="I5" s="37" t="s">
        <v>17</v>
      </c>
      <c r="M5" s="7"/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9" t="s">
        <v>25</v>
      </c>
    </row>
    <row r="6" spans="2:23" ht="13.5" thickBot="1">
      <c r="B6" s="5"/>
      <c r="C6" s="5"/>
      <c r="D6" s="6"/>
      <c r="E6" s="6"/>
      <c r="F6" s="6"/>
      <c r="G6" s="6"/>
      <c r="H6" s="6"/>
      <c r="I6" s="6"/>
      <c r="M6" s="17" t="str">
        <f>BL8</f>
        <v>France</v>
      </c>
      <c r="N6" s="18">
        <f aca="true" t="shared" si="0" ref="N6:U9">BM8</f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9">
        <f t="shared" si="0"/>
        <v>0</v>
      </c>
      <c r="W6" s="1" t="s">
        <v>13</v>
      </c>
    </row>
    <row r="7" spans="2:72" ht="13.5" thickBot="1">
      <c r="B7" s="10">
        <v>47969</v>
      </c>
      <c r="C7" s="11">
        <v>0.8541666666666666</v>
      </c>
      <c r="D7" s="28" t="s">
        <v>30</v>
      </c>
      <c r="E7" s="13"/>
      <c r="F7" s="14"/>
      <c r="G7" s="12" t="s">
        <v>74</v>
      </c>
      <c r="H7" s="15" t="s">
        <v>43</v>
      </c>
      <c r="I7" s="16" t="s">
        <v>23</v>
      </c>
      <c r="J7" s="1">
        <f aca="true" t="shared" si="1" ref="J7:J30">IF(E7&lt;&gt;"",IF(E7&gt;F7,D7,IF(F7&gt;E7,G7,"Draw")),"")</f>
      </c>
      <c r="K7" s="1">
        <f aca="true" t="shared" si="2" ref="K7:K30">IF(E7&lt;&gt;"",IF(E7&lt;F7,D7,IF(F7&lt;E7,G7,"Draw")),"")</f>
      </c>
      <c r="M7" s="17" t="str">
        <f>BL9</f>
        <v>Senegal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9">
        <f t="shared" si="0"/>
        <v>0</v>
      </c>
      <c r="X7" s="1" t="s">
        <v>27</v>
      </c>
      <c r="Y7" s="1" t="s">
        <v>19</v>
      </c>
      <c r="Z7" s="1" t="s">
        <v>20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28</v>
      </c>
      <c r="AF7" s="1" t="s">
        <v>29</v>
      </c>
      <c r="AG7" s="26" t="s">
        <v>28</v>
      </c>
      <c r="AH7" s="1" t="s">
        <v>29</v>
      </c>
      <c r="AI7" s="26" t="s">
        <v>28</v>
      </c>
      <c r="AJ7" s="1" t="s">
        <v>29</v>
      </c>
      <c r="AK7" s="26" t="s">
        <v>28</v>
      </c>
      <c r="AL7" s="26" t="s">
        <v>24</v>
      </c>
      <c r="AM7" s="1" t="s">
        <v>29</v>
      </c>
      <c r="AN7" s="1" t="s">
        <v>28</v>
      </c>
      <c r="AO7" s="26" t="s">
        <v>24</v>
      </c>
      <c r="AP7" s="1" t="s">
        <v>29</v>
      </c>
      <c r="AQ7" s="1" t="s">
        <v>28</v>
      </c>
      <c r="AR7" s="26" t="s">
        <v>24</v>
      </c>
      <c r="AS7" s="1" t="s">
        <v>29</v>
      </c>
      <c r="AT7" s="1" t="s">
        <v>28</v>
      </c>
      <c r="AU7" s="26" t="s">
        <v>24</v>
      </c>
      <c r="AV7" s="26" t="s">
        <v>22</v>
      </c>
      <c r="AW7" s="1" t="s">
        <v>29</v>
      </c>
      <c r="AX7" s="1" t="s">
        <v>28</v>
      </c>
      <c r="AY7" s="26" t="s">
        <v>24</v>
      </c>
      <c r="AZ7" s="26" t="s">
        <v>22</v>
      </c>
      <c r="BA7" s="1" t="s">
        <v>29</v>
      </c>
      <c r="BB7" s="1" t="s">
        <v>28</v>
      </c>
      <c r="BC7" s="26" t="s">
        <v>24</v>
      </c>
      <c r="BD7" s="26" t="s">
        <v>22</v>
      </c>
      <c r="BE7" s="1" t="s">
        <v>29</v>
      </c>
      <c r="BF7" s="26" t="s">
        <v>28</v>
      </c>
      <c r="BG7" s="26" t="s">
        <v>24</v>
      </c>
      <c r="BH7" s="26" t="s">
        <v>22</v>
      </c>
      <c r="BM7" s="26" t="s">
        <v>18</v>
      </c>
      <c r="BN7" s="26" t="s">
        <v>19</v>
      </c>
      <c r="BO7" s="26" t="s">
        <v>20</v>
      </c>
      <c r="BP7" s="26" t="s">
        <v>21</v>
      </c>
      <c r="BQ7" s="26" t="s">
        <v>22</v>
      </c>
      <c r="BR7" s="26" t="s">
        <v>23</v>
      </c>
      <c r="BS7" s="26" t="s">
        <v>24</v>
      </c>
      <c r="BT7" s="26" t="s">
        <v>28</v>
      </c>
    </row>
    <row r="8" spans="2:72" ht="13.5" thickBot="1">
      <c r="B8" s="10">
        <v>37043</v>
      </c>
      <c r="C8" s="11">
        <v>0.6458333333333334</v>
      </c>
      <c r="D8" s="28" t="s">
        <v>90</v>
      </c>
      <c r="E8" s="13"/>
      <c r="F8" s="14"/>
      <c r="G8" s="12" t="s">
        <v>91</v>
      </c>
      <c r="H8" s="15" t="s">
        <v>44</v>
      </c>
      <c r="I8" s="16" t="s">
        <v>46</v>
      </c>
      <c r="J8" s="1">
        <f t="shared" si="1"/>
      </c>
      <c r="K8" s="1">
        <f t="shared" si="2"/>
      </c>
      <c r="M8" s="17" t="str">
        <f>BL10</f>
        <v>Uruguay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9">
        <f t="shared" si="0"/>
        <v>0</v>
      </c>
      <c r="W8" s="1" t="s">
        <v>30</v>
      </c>
      <c r="X8" s="1">
        <f>COUNT(France_Played)</f>
        <v>0</v>
      </c>
      <c r="Y8" s="1">
        <f>COUNTIF(Groupstage_Winners,"France")</f>
        <v>0</v>
      </c>
      <c r="Z8" s="1">
        <f>COUNTIF(Groupstage_Losers,"France")</f>
        <v>0</v>
      </c>
      <c r="AA8" s="1">
        <f>X8-(Y8+Z8)</f>
        <v>0</v>
      </c>
      <c r="AB8" s="1">
        <f>SUM(France_Played)</f>
        <v>0</v>
      </c>
      <c r="AC8" s="1">
        <f>SUM(France_Against)</f>
        <v>0</v>
      </c>
      <c r="AD8" s="1">
        <f>AB8-AC8</f>
        <v>0</v>
      </c>
      <c r="AE8" s="1">
        <f>Y8*Winpoints+AA8*Drawpoints</f>
        <v>0</v>
      </c>
      <c r="AF8" s="1" t="str">
        <f>IF($AE8&gt;=$AE9,$W8,$W9)</f>
        <v>France</v>
      </c>
      <c r="AG8" s="1">
        <f>VLOOKUP($AF8,$W8:$AE11,9,FALSE)</f>
        <v>0</v>
      </c>
      <c r="AH8" s="1" t="str">
        <f>IF($AG8&gt;=$AG10,$AF8,$AF10)</f>
        <v>France</v>
      </c>
      <c r="AI8" s="1">
        <f>VLOOKUP($AH8,$W8:$AE11,9,FALSE)</f>
        <v>0</v>
      </c>
      <c r="AJ8" s="1" t="str">
        <f>IF($AI8&gt;=$AI11,$AH8,$AH11)</f>
        <v>France</v>
      </c>
      <c r="AK8" s="1">
        <f>VLOOKUP($AJ8,$W8:$AE11,9,FALSE)</f>
        <v>0</v>
      </c>
      <c r="AL8" s="1">
        <f>VLOOKUP($AJ8,$W8:$AE11,8,FALSE)</f>
        <v>0</v>
      </c>
      <c r="AM8" s="1" t="str">
        <f>IF(AND($AK8=$AK9,$AL9&gt;$AL8),$AJ9,$AJ8)</f>
        <v>France</v>
      </c>
      <c r="AN8" s="1">
        <f>VLOOKUP($AM8,$W8:$AE11,9,FALSE)</f>
        <v>0</v>
      </c>
      <c r="AO8" s="1">
        <f>VLOOKUP($AM8,$W8:$AE11,8,FALSE)</f>
        <v>0</v>
      </c>
      <c r="AP8" s="1" t="str">
        <f>IF(AND($AN8=$AN10,$AO10&gt;$AO8),$AM10,$AM8)</f>
        <v>France</v>
      </c>
      <c r="AQ8" s="1">
        <f>VLOOKUP($AP8,$W8:$AE11,9,FALSE)</f>
        <v>0</v>
      </c>
      <c r="AR8" s="1">
        <f>VLOOKUP($AP8,$W8:$AE11,8,FALSE)</f>
        <v>0</v>
      </c>
      <c r="AS8" s="1" t="str">
        <f>IF(AND($AQ8=$AQ11,$AR11&gt;$AR8),$AP11,$AP8)</f>
        <v>France</v>
      </c>
      <c r="AT8" s="1">
        <f>VLOOKUP($AS8,$W8:$AE11,9,FALSE)</f>
        <v>0</v>
      </c>
      <c r="AU8" s="1">
        <f>VLOOKUP($AS8,$W8:$AE11,8,FALSE)</f>
        <v>0</v>
      </c>
      <c r="AV8" s="1">
        <f>VLOOKUP($AS8,$W8:$AE11,6,FALSE)</f>
        <v>0</v>
      </c>
      <c r="AW8" s="1" t="str">
        <f>IF(AND($AT8=$AT9,$AU8=$AU9,$AV9&gt;$AV8),$AS9,$AS8)</f>
        <v>France</v>
      </c>
      <c r="AX8" s="1">
        <f>VLOOKUP($AW8,$W8:$AE11,9,FALSE)</f>
        <v>0</v>
      </c>
      <c r="AY8" s="1">
        <f>VLOOKUP($AW8,$W8:$AE11,8,FALSE)</f>
        <v>0</v>
      </c>
      <c r="AZ8" s="1">
        <f>VLOOKUP($AW8,$W8:$AE11,6,FALSE)</f>
        <v>0</v>
      </c>
      <c r="BA8" s="1" t="str">
        <f>IF(AND($AX8=$AX10,$AY8=$AY10,$AZ10&gt;$AZ8),$AW10,$AW8)</f>
        <v>France</v>
      </c>
      <c r="BB8" s="1">
        <f>VLOOKUP($BA8,$W8:$AE11,9,FALSE)</f>
        <v>0</v>
      </c>
      <c r="BC8" s="1">
        <f>VLOOKUP($BA8,$W8:$AE11,8,FALSE)</f>
        <v>0</v>
      </c>
      <c r="BD8" s="1">
        <f>VLOOKUP($BA8,$W8:$AE11,6,FALSE)</f>
        <v>0</v>
      </c>
      <c r="BE8" s="1" t="str">
        <f>IF(AND($BB8=$BB11,$BC8=$BC11,$BD11&gt;$BD8),$BA11,$BA8)</f>
        <v>France</v>
      </c>
      <c r="BF8" s="1">
        <f>VLOOKUP($BE8,$W8:$AE11,9,FALSE)</f>
        <v>0</v>
      </c>
      <c r="BG8" s="1">
        <f>VLOOKUP($BE8,$W8:$AE11,8,FALSE)</f>
        <v>0</v>
      </c>
      <c r="BH8" s="1">
        <f>VLOOKUP($BE8,$W8:$AE11,6,FALSE)</f>
        <v>0</v>
      </c>
      <c r="BL8" s="1" t="str">
        <f>BE8</f>
        <v>France</v>
      </c>
      <c r="BM8" s="1">
        <f>VLOOKUP($BL8,$W8:$AE11,2,FALSE)</f>
        <v>0</v>
      </c>
      <c r="BN8" s="1">
        <f>VLOOKUP($BL8,$W8:$AE11,3,FALSE)</f>
        <v>0</v>
      </c>
      <c r="BO8" s="1">
        <f>VLOOKUP($BL8,$W8:$AE11,4,FALSE)</f>
        <v>0</v>
      </c>
      <c r="BP8" s="1">
        <f>VLOOKUP($BL8,$W8:$AE11,5,FALSE)</f>
        <v>0</v>
      </c>
      <c r="BQ8" s="1">
        <f>VLOOKUP($BL8,$W8:$AE11,6,FALSE)</f>
        <v>0</v>
      </c>
      <c r="BR8" s="1">
        <f>VLOOKUP($BL8,$W8:$AE11,7,FALSE)</f>
        <v>0</v>
      </c>
      <c r="BS8" s="1">
        <f>VLOOKUP($BL8,$W8:$AE11,8,FALSE)</f>
        <v>0</v>
      </c>
      <c r="BT8" s="1">
        <f>VLOOKUP($BL8,$W8:$AE11,9,FALSE)</f>
        <v>0</v>
      </c>
    </row>
    <row r="9" spans="2:72" ht="13.5" thickBot="1">
      <c r="B9" s="10">
        <v>37043</v>
      </c>
      <c r="C9" s="11">
        <v>0.75</v>
      </c>
      <c r="D9" s="28" t="s">
        <v>75</v>
      </c>
      <c r="E9" s="13"/>
      <c r="F9" s="14"/>
      <c r="G9" s="12" t="s">
        <v>76</v>
      </c>
      <c r="H9" s="15" t="s">
        <v>45</v>
      </c>
      <c r="I9" s="16" t="s">
        <v>23</v>
      </c>
      <c r="J9" s="1">
        <f t="shared" si="1"/>
      </c>
      <c r="K9" s="1">
        <f t="shared" si="2"/>
      </c>
      <c r="M9" s="20" t="str">
        <f>BL11</f>
        <v>Denmark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2">
        <f t="shared" si="0"/>
        <v>0</v>
      </c>
      <c r="W9" s="1" t="s">
        <v>74</v>
      </c>
      <c r="X9" s="1">
        <f>COUNT(Senegal_Played)</f>
        <v>0</v>
      </c>
      <c r="Y9" s="1">
        <f>COUNTIF(Groupstage_Winners,"Senegal")</f>
        <v>0</v>
      </c>
      <c r="Z9" s="1">
        <f>COUNTIF(Groupstage_Losers,"Senegal")</f>
        <v>0</v>
      </c>
      <c r="AA9" s="1">
        <f>X9-(Y9+Z9)</f>
        <v>0</v>
      </c>
      <c r="AB9" s="1">
        <f>SUM(Senegal_Played)</f>
        <v>0</v>
      </c>
      <c r="AC9" s="1">
        <f>SUM(Senegal_Against)</f>
        <v>0</v>
      </c>
      <c r="AD9" s="1">
        <f>AB9-AC9</f>
        <v>0</v>
      </c>
      <c r="AE9" s="1">
        <f>Y9*Winpoints+AA9*Drawpoints</f>
        <v>0</v>
      </c>
      <c r="AF9" s="1" t="str">
        <f>IF($AE9&lt;=$AE8,$W9,$W8)</f>
        <v>Senegal</v>
      </c>
      <c r="AG9" s="1">
        <f>VLOOKUP($AF9,$W8:$AE11,9,FALSE)</f>
        <v>0</v>
      </c>
      <c r="AH9" s="1" t="str">
        <f>IF(AG9&gt;=AG11,AF9,AF11)</f>
        <v>Senegal</v>
      </c>
      <c r="AI9" s="1">
        <f>VLOOKUP($AH9,$W8:$AE11,9,FALSE)</f>
        <v>0</v>
      </c>
      <c r="AJ9" s="1" t="str">
        <f>IF($AI9&gt;=$AI10,$AH9,$AH10)</f>
        <v>Senegal</v>
      </c>
      <c r="AK9" s="1">
        <f>VLOOKUP($AJ9,$W8:$AE11,9,FALSE)</f>
        <v>0</v>
      </c>
      <c r="AL9" s="1">
        <f>VLOOKUP($AJ9,$W8:$AE11,8,FALSE)</f>
        <v>0</v>
      </c>
      <c r="AM9" s="1" t="str">
        <f>IF(AND($AK8=$AK9,$AL9&gt;$AL8),$AJ8,$AJ9)</f>
        <v>Senegal</v>
      </c>
      <c r="AN9" s="1">
        <f>VLOOKUP($AM9,$W8:$AE11,9,FALSE)</f>
        <v>0</v>
      </c>
      <c r="AO9" s="1">
        <f>VLOOKUP($AM9,$W8:$AE11,8,FALSE)</f>
        <v>0</v>
      </c>
      <c r="AP9" s="1" t="str">
        <f>IF(AND($AN9=$AN11,$AO11&gt;$AO9),$AM11,$AM9)</f>
        <v>Senegal</v>
      </c>
      <c r="AQ9" s="1">
        <f>VLOOKUP($AP9,$W8:$AE11,9,FALSE)</f>
        <v>0</v>
      </c>
      <c r="AR9" s="1">
        <f>VLOOKUP($AP9,$W8:$AE11,8,FALSE)</f>
        <v>0</v>
      </c>
      <c r="AS9" s="1" t="str">
        <f>IF(AND($AQ9=$AQ10,$AR10&gt;$AR9),$AP10,$AP9)</f>
        <v>Senegal</v>
      </c>
      <c r="AT9" s="1">
        <f>VLOOKUP($AS9,$W8:$AE11,9,FALSE)</f>
        <v>0</v>
      </c>
      <c r="AU9" s="1">
        <f>VLOOKUP($AS9,$W8:$AE11,8,FALSE)</f>
        <v>0</v>
      </c>
      <c r="AV9" s="1">
        <f>VLOOKUP($AS9,$W8:$AE11,6,FALSE)</f>
        <v>0</v>
      </c>
      <c r="AW9" s="1" t="str">
        <f>IF(AND($AT8=$AT9,$AU8=$AU9,$AV9&gt;$AV8),$AS8,$AS9)</f>
        <v>Senegal</v>
      </c>
      <c r="AX9" s="1">
        <f>VLOOKUP($AW9,$W8:$AE11,9,FALSE)</f>
        <v>0</v>
      </c>
      <c r="AY9" s="1">
        <f>VLOOKUP($AW9,$W8:$AE11,8,FALSE)</f>
        <v>0</v>
      </c>
      <c r="AZ9" s="1">
        <f>VLOOKUP($AW9,$W8:$AE11,6,FALSE)</f>
        <v>0</v>
      </c>
      <c r="BA9" s="1" t="str">
        <f>IF(AND($AX9=$AX11,$AY9=$AY11,$AZ11&gt;$AZ9),$AW11,$AW9)</f>
        <v>Senegal</v>
      </c>
      <c r="BB9" s="1">
        <f>VLOOKUP($BA9,$W8:$AE11,9,FALSE)</f>
        <v>0</v>
      </c>
      <c r="BC9" s="1">
        <f>VLOOKUP($BA9,$W8:$AE11,8,FALSE)</f>
        <v>0</v>
      </c>
      <c r="BD9" s="1">
        <f>VLOOKUP($BA9,$W8:$AE11,6,FALSE)</f>
        <v>0</v>
      </c>
      <c r="BE9" s="1" t="str">
        <f>IF(AND($BB9=$BB10,$BC9=$BC10,$BD10&gt;$BD9),$BA10,$BA9)</f>
        <v>Senegal</v>
      </c>
      <c r="BF9" s="1">
        <f>VLOOKUP($BE9,$W8:$AE11,9,FALSE)</f>
        <v>0</v>
      </c>
      <c r="BG9" s="1">
        <f>VLOOKUP($BE9,$W8:$AE11,8,FALSE)</f>
        <v>0</v>
      </c>
      <c r="BH9" s="1">
        <f>VLOOKUP($BE9,$W8:$AE11,6,FALSE)</f>
        <v>0</v>
      </c>
      <c r="BL9" s="1" t="str">
        <f>BE9</f>
        <v>Senegal</v>
      </c>
      <c r="BM9" s="1">
        <f>VLOOKUP($BL9,$W8:$AE11,2,FALSE)</f>
        <v>0</v>
      </c>
      <c r="BN9" s="1">
        <f>VLOOKUP($BL9,$W8:$AE11,3,FALSE)</f>
        <v>0</v>
      </c>
      <c r="BO9" s="1">
        <f>VLOOKUP($BL9,$W8:$AE11,4,FALSE)</f>
        <v>0</v>
      </c>
      <c r="BP9" s="1">
        <f>VLOOKUP($BL9,$W8:$AE11,5,FALSE)</f>
        <v>0</v>
      </c>
      <c r="BQ9" s="1">
        <f>VLOOKUP($BL9,$W8:$AE11,6,FALSE)</f>
        <v>0</v>
      </c>
      <c r="BR9" s="1">
        <f>VLOOKUP($BL9,$W8:$AE11,7,FALSE)</f>
        <v>0</v>
      </c>
      <c r="BS9" s="1">
        <f>VLOOKUP($BL9,$W8:$AE11,8,FALSE)</f>
        <v>0</v>
      </c>
      <c r="BT9" s="1">
        <f>VLOOKUP($BL9,$W8:$AE11,9,FALSE)</f>
        <v>0</v>
      </c>
    </row>
    <row r="10" spans="2:72" ht="13.5" thickBot="1">
      <c r="B10" s="10">
        <v>37043</v>
      </c>
      <c r="C10" s="11">
        <v>0.8541666666666666</v>
      </c>
      <c r="D10" s="28" t="s">
        <v>88</v>
      </c>
      <c r="E10" s="13"/>
      <c r="F10" s="14"/>
      <c r="G10" s="12" t="s">
        <v>89</v>
      </c>
      <c r="H10" s="15" t="s">
        <v>47</v>
      </c>
      <c r="I10" s="16" t="s">
        <v>46</v>
      </c>
      <c r="J10" s="1">
        <f t="shared" si="1"/>
      </c>
      <c r="K10" s="1">
        <f t="shared" si="2"/>
      </c>
      <c r="W10" s="1" t="s">
        <v>75</v>
      </c>
      <c r="X10" s="1">
        <f>COUNT(Uruguay_Played)</f>
        <v>0</v>
      </c>
      <c r="Y10" s="1">
        <f>COUNTIF(Groupstage_Winners,"Uruguay")</f>
        <v>0</v>
      </c>
      <c r="Z10" s="1">
        <f>COUNTIF(Groupstage_Losers,"Uruguay")</f>
        <v>0</v>
      </c>
      <c r="AA10" s="1">
        <f>X10-(Y10+Z10)</f>
        <v>0</v>
      </c>
      <c r="AB10" s="1">
        <f>SUM(Uruguay_Played)</f>
        <v>0</v>
      </c>
      <c r="AC10" s="1">
        <f>SUM(Uruguay_Against)</f>
        <v>0</v>
      </c>
      <c r="AD10" s="1">
        <f>AB10-AC10</f>
        <v>0</v>
      </c>
      <c r="AE10" s="1">
        <f>Y10*Winpoints+AA10*Drawpoints</f>
        <v>0</v>
      </c>
      <c r="AF10" s="1" t="str">
        <f>IF($AE10&gt;=$AE11,$W10,$W11)</f>
        <v>Uruguay</v>
      </c>
      <c r="AG10" s="1">
        <f>VLOOKUP($AF10,$W8:$AE11,9,FALSE)</f>
        <v>0</v>
      </c>
      <c r="AH10" s="1" t="str">
        <f>IF($AG10&lt;=$AG8,$AF10,$AF8)</f>
        <v>Uruguay</v>
      </c>
      <c r="AI10" s="1">
        <f>VLOOKUP($AH10,$W8:$AE11,9,FALSE)</f>
        <v>0</v>
      </c>
      <c r="AJ10" s="1" t="str">
        <f>IF($AI10&lt;=$AI9,$AH10,$AH9)</f>
        <v>Uruguay</v>
      </c>
      <c r="AK10" s="1">
        <f>VLOOKUP($AJ10,$W8:$AE11,9,FALSE)</f>
        <v>0</v>
      </c>
      <c r="AL10" s="1">
        <f>VLOOKUP($AJ10,$W8:$AE11,8,FALSE)</f>
        <v>0</v>
      </c>
      <c r="AM10" s="1" t="str">
        <f>IF(AND($AK10=$AK11,$AL11&gt;$AL10),$AJ11,$AJ10)</f>
        <v>Uruguay</v>
      </c>
      <c r="AN10" s="1">
        <f>VLOOKUP($AM10,$W8:$AE11,9,FALSE)</f>
        <v>0</v>
      </c>
      <c r="AO10" s="1">
        <f>VLOOKUP($AM10,$W8:$AE11,8,FALSE)</f>
        <v>0</v>
      </c>
      <c r="AP10" s="1" t="str">
        <f>IF(AND($AN8=$AN10,$AO10&gt;$AO8),$AM8,$AM10)</f>
        <v>Uruguay</v>
      </c>
      <c r="AQ10" s="1">
        <f>VLOOKUP($AP10,$W8:$AE11,9,FALSE)</f>
        <v>0</v>
      </c>
      <c r="AR10" s="1">
        <f>VLOOKUP($AP10,$W8:$AE11,8,FALSE)</f>
        <v>0</v>
      </c>
      <c r="AS10" s="1" t="str">
        <f>IF(AND($AQ9=$AQ10,$AR10&gt;$AR9),$AP9,$AP10)</f>
        <v>Uruguay</v>
      </c>
      <c r="AT10" s="1">
        <f>VLOOKUP($AS10,$W8:$AE11,9,FALSE)</f>
        <v>0</v>
      </c>
      <c r="AU10" s="1">
        <f>VLOOKUP($AS10,$W8:$AE11,8,FALSE)</f>
        <v>0</v>
      </c>
      <c r="AV10" s="1">
        <f>VLOOKUP($AS10,$W8:$AE11,6,FALSE)</f>
        <v>0</v>
      </c>
      <c r="AW10" s="1" t="str">
        <f>IF(AND($AT10=$AT11,$AU10=$AU11,$AV11&gt;$AV10),$AS11,$AS10)</f>
        <v>Uruguay</v>
      </c>
      <c r="AX10" s="1">
        <f>VLOOKUP($AW10,$W8:$AE11,9,FALSE)</f>
        <v>0</v>
      </c>
      <c r="AY10" s="1">
        <f>VLOOKUP($AW10,$W8:$AE11,8,FALSE)</f>
        <v>0</v>
      </c>
      <c r="AZ10" s="1">
        <f>VLOOKUP($AW10,$W8:$AE11,6,FALSE)</f>
        <v>0</v>
      </c>
      <c r="BA10" s="1" t="str">
        <f>IF(AND($AX8=$AX10,$AY8=$AY10,$AZ9&gt;$AZ8),$AW8,$AW10)</f>
        <v>Uruguay</v>
      </c>
      <c r="BB10" s="1">
        <f>VLOOKUP($BA10,$W8:$AE11,9,FALSE)</f>
        <v>0</v>
      </c>
      <c r="BC10" s="1">
        <f>VLOOKUP($BA10,$W8:$AE11,8,FALSE)</f>
        <v>0</v>
      </c>
      <c r="BD10" s="1">
        <f>VLOOKUP($BA10,$W8:$AE11,6,FALSE)</f>
        <v>0</v>
      </c>
      <c r="BE10" s="1" t="str">
        <f>IF(AND($BB9=$BB10,$BC9=$BC10,$BD10&gt;$BD9),$BA9,$BA10)</f>
        <v>Uruguay</v>
      </c>
      <c r="BF10" s="1">
        <f>VLOOKUP($BE10,$W8:$AE11,9,FALSE)</f>
        <v>0</v>
      </c>
      <c r="BG10" s="1">
        <f>VLOOKUP($BE10,$W8:$AE11,8,FALSE)</f>
        <v>0</v>
      </c>
      <c r="BH10" s="1">
        <f>VLOOKUP($BE10,$W8:$AE11,6,FALSE)</f>
        <v>0</v>
      </c>
      <c r="BL10" s="1" t="str">
        <f>BE10</f>
        <v>Uruguay</v>
      </c>
      <c r="BM10" s="1">
        <f>VLOOKUP($BL10,$W8:$AE11,2,FALSE)</f>
        <v>0</v>
      </c>
      <c r="BN10" s="1">
        <f>VLOOKUP($BL10,$W8:$AE11,3,FALSE)</f>
        <v>0</v>
      </c>
      <c r="BO10" s="1">
        <f>VLOOKUP($BL10,$W8:$AE11,4,FALSE)</f>
        <v>0</v>
      </c>
      <c r="BP10" s="1">
        <f>VLOOKUP($BL10,$W8:$AE11,5,FALSE)</f>
        <v>0</v>
      </c>
      <c r="BQ10" s="1">
        <f>VLOOKUP($BL10,$W8:$AE11,6,FALSE)</f>
        <v>0</v>
      </c>
      <c r="BR10" s="1">
        <f>VLOOKUP($BL10,$W8:$AE11,7,FALSE)</f>
        <v>0</v>
      </c>
      <c r="BS10" s="1">
        <f>VLOOKUP($BL10,$W8:$AE11,8,FALSE)</f>
        <v>0</v>
      </c>
      <c r="BT10" s="1">
        <f>VLOOKUP($BL10,$W8:$AE11,9,FALSE)</f>
        <v>0</v>
      </c>
    </row>
    <row r="11" spans="2:72" ht="15.75" thickBot="1">
      <c r="B11" s="10">
        <v>37408</v>
      </c>
      <c r="C11" s="11">
        <v>0.6041666666666666</v>
      </c>
      <c r="D11" s="28" t="s">
        <v>94</v>
      </c>
      <c r="E11" s="13"/>
      <c r="F11" s="14"/>
      <c r="G11" s="12" t="s">
        <v>95</v>
      </c>
      <c r="H11" s="15" t="s">
        <v>48</v>
      </c>
      <c r="I11" s="16" t="s">
        <v>22</v>
      </c>
      <c r="J11" s="1">
        <f t="shared" si="1"/>
      </c>
      <c r="K11" s="1">
        <f t="shared" si="2"/>
      </c>
      <c r="M11" s="2" t="s">
        <v>31</v>
      </c>
      <c r="N11" s="3"/>
      <c r="O11" s="3"/>
      <c r="P11" s="3"/>
      <c r="Q11" s="3"/>
      <c r="R11" s="3"/>
      <c r="S11" s="3"/>
      <c r="T11" s="3"/>
      <c r="U11" s="4"/>
      <c r="W11" s="1" t="s">
        <v>76</v>
      </c>
      <c r="X11" s="1">
        <f>COUNT(Denmark_Played)</f>
        <v>0</v>
      </c>
      <c r="Y11" s="1">
        <f>COUNTIF(Groupstage_Winners,"Denmark")</f>
        <v>0</v>
      </c>
      <c r="Z11" s="1">
        <f>COUNTIF(Groupstage_Losers,"Denmark")</f>
        <v>0</v>
      </c>
      <c r="AA11" s="1">
        <f>X11-(Y11+Z11)</f>
        <v>0</v>
      </c>
      <c r="AB11" s="1">
        <f>SUM(Denmark_Played)</f>
        <v>0</v>
      </c>
      <c r="AC11" s="1">
        <f>SUM(Denmark_Against)</f>
        <v>0</v>
      </c>
      <c r="AD11" s="1">
        <f>AB11-AC11</f>
        <v>0</v>
      </c>
      <c r="AE11" s="1">
        <f>Y11*Winpoints+AA11*Drawpoints</f>
        <v>0</v>
      </c>
      <c r="AF11" s="1" t="str">
        <f>IF($AE11&lt;=$AE10,$W11,$W10)</f>
        <v>Denmark</v>
      </c>
      <c r="AG11" s="1">
        <f>VLOOKUP($AF11,$W8:$AE11,9,FALSE)</f>
        <v>0</v>
      </c>
      <c r="AH11" s="1" t="str">
        <f>IF(AG11&lt;=AG9,AF11,AF9)</f>
        <v>Denmark</v>
      </c>
      <c r="AI11" s="1">
        <f>VLOOKUP($AH11,$W8:$AE11,9,FALSE)</f>
        <v>0</v>
      </c>
      <c r="AJ11" s="1" t="str">
        <f>IF($AI11&lt;=$AI8,$AH11,$AH8)</f>
        <v>Denmark</v>
      </c>
      <c r="AK11" s="1">
        <f>VLOOKUP($AJ11,$W8:$AE11,9,FALSE)</f>
        <v>0</v>
      </c>
      <c r="AL11" s="1">
        <f>VLOOKUP($AJ11,$W8:$AE11,8,FALSE)</f>
        <v>0</v>
      </c>
      <c r="AM11" s="1" t="str">
        <f>IF(AND($AK10=$AK11,$AL11&gt;$AL10),$AJ10,$AJ11)</f>
        <v>Denmark</v>
      </c>
      <c r="AN11" s="1">
        <f>VLOOKUP($AM11,$W8:$AE11,9,FALSE)</f>
        <v>0</v>
      </c>
      <c r="AO11" s="1">
        <f>VLOOKUP($AM11,$W8:$AE11,8,FALSE)</f>
        <v>0</v>
      </c>
      <c r="AP11" s="1" t="str">
        <f>IF(AND($AN9=$AN11,$AO11&gt;$AO9),$AM9,$AM11)</f>
        <v>Denmark</v>
      </c>
      <c r="AQ11" s="1">
        <f>VLOOKUP($AP11,$W8:$AE11,9,FALSE)</f>
        <v>0</v>
      </c>
      <c r="AR11" s="1">
        <f>VLOOKUP($AP11,$W8:$AE11,8,FALSE)</f>
        <v>0</v>
      </c>
      <c r="AS11" s="1" t="str">
        <f>IF(AND($AQ8=$AQ11,$AR11&gt;$AR8),$AP8,$AP11)</f>
        <v>Denmark</v>
      </c>
      <c r="AT11" s="1">
        <f>VLOOKUP($AS11,$W8:$AE11,9,FALSE)</f>
        <v>0</v>
      </c>
      <c r="AU11" s="1">
        <f>VLOOKUP($AS11,$W8:$AE11,8,FALSE)</f>
        <v>0</v>
      </c>
      <c r="AV11" s="1">
        <f>VLOOKUP($AS11,$W8:$AE11,6,FALSE)</f>
        <v>0</v>
      </c>
      <c r="AW11" s="1" t="str">
        <f>IF(AND($AT10=$AT11,$AU10=$AU11,$AV11&gt;$AV10),$AS10,$AS11)</f>
        <v>Denmark</v>
      </c>
      <c r="AX11" s="1">
        <f>VLOOKUP($AW11,$W8:$AE11,9,FALSE)</f>
        <v>0</v>
      </c>
      <c r="AY11" s="1">
        <f>VLOOKUP($AW11,$W8:$AE11,8,FALSE)</f>
        <v>0</v>
      </c>
      <c r="AZ11" s="1">
        <f>VLOOKUP($AW11,$W8:$AE11,6,FALSE)</f>
        <v>0</v>
      </c>
      <c r="BA11" s="1" t="str">
        <f>IF(AND($AX9=$AX11,$AY9=$AY11,$AZ11&gt;$AZ9),$AW9,$AW11)</f>
        <v>Denmark</v>
      </c>
      <c r="BB11" s="1">
        <f>VLOOKUP($BA11,$W8:$AE11,9,FALSE)</f>
        <v>0</v>
      </c>
      <c r="BC11" s="1">
        <f>VLOOKUP($BA11,$W8:$AE11,8,FALSE)</f>
        <v>0</v>
      </c>
      <c r="BD11" s="1">
        <f>VLOOKUP($BA11,$W8:$AE11,6,FALSE)</f>
        <v>0</v>
      </c>
      <c r="BE11" s="1" t="str">
        <f>IF(AND($BB8=$BB11,$BC8=$BC11,$BD11&gt;$BD8),$BA8,$BA11)</f>
        <v>Denmark</v>
      </c>
      <c r="BF11" s="1">
        <f>VLOOKUP($BE11,$W8:$AE11,9,FALSE)</f>
        <v>0</v>
      </c>
      <c r="BG11" s="1">
        <f>VLOOKUP($BE11,$W8:$AE11,8,FALSE)</f>
        <v>0</v>
      </c>
      <c r="BH11" s="1">
        <f>VLOOKUP($BE11,$W8:$AE11,6,FALSE)</f>
        <v>0</v>
      </c>
      <c r="BL11" s="1" t="str">
        <f>BE11</f>
        <v>Denmark</v>
      </c>
      <c r="BM11" s="1">
        <f>VLOOKUP($BL11,$W8:$AE11,2,FALSE)</f>
        <v>0</v>
      </c>
      <c r="BN11" s="1">
        <f>VLOOKUP($BL11,$W8:$AE11,3,FALSE)</f>
        <v>0</v>
      </c>
      <c r="BO11" s="1">
        <f>VLOOKUP($BL11,$W8:$AE11,4,FALSE)</f>
        <v>0</v>
      </c>
      <c r="BP11" s="1">
        <f>VLOOKUP($BL11,$W8:$AE11,5,FALSE)</f>
        <v>0</v>
      </c>
      <c r="BQ11" s="1">
        <f>VLOOKUP($BL11,$W8:$AE11,6,FALSE)</f>
        <v>0</v>
      </c>
      <c r="BR11" s="1">
        <f>VLOOKUP($BL11,$W8:$AE11,7,FALSE)</f>
        <v>0</v>
      </c>
      <c r="BS11" s="1">
        <f>VLOOKUP($BL11,$W8:$AE11,8,FALSE)</f>
        <v>0</v>
      </c>
      <c r="BT11" s="1">
        <f>VLOOKUP($BL11,$W8:$AE11,9,FALSE)</f>
        <v>0</v>
      </c>
    </row>
    <row r="12" spans="2:21" ht="13.5" thickBot="1">
      <c r="B12" s="10">
        <v>37408</v>
      </c>
      <c r="C12" s="11">
        <v>0.6875</v>
      </c>
      <c r="D12" s="28" t="s">
        <v>79</v>
      </c>
      <c r="E12" s="13"/>
      <c r="F12" s="14"/>
      <c r="G12" s="12" t="s">
        <v>80</v>
      </c>
      <c r="H12" s="15" t="s">
        <v>49</v>
      </c>
      <c r="I12" s="16" t="s">
        <v>26</v>
      </c>
      <c r="J12" s="1">
        <f t="shared" si="1"/>
      </c>
      <c r="K12" s="1">
        <f t="shared" si="2"/>
      </c>
      <c r="M12" s="7"/>
      <c r="N12" s="8" t="s">
        <v>18</v>
      </c>
      <c r="O12" s="8" t="s">
        <v>19</v>
      </c>
      <c r="P12" s="8" t="s">
        <v>20</v>
      </c>
      <c r="Q12" s="8" t="s">
        <v>21</v>
      </c>
      <c r="R12" s="8" t="s">
        <v>22</v>
      </c>
      <c r="S12" s="8" t="s">
        <v>23</v>
      </c>
      <c r="T12" s="8" t="s">
        <v>24</v>
      </c>
      <c r="U12" s="9" t="s">
        <v>25</v>
      </c>
    </row>
    <row r="13" spans="2:23" ht="13.5" thickBot="1">
      <c r="B13" s="10">
        <v>37408</v>
      </c>
      <c r="C13" s="11">
        <v>0.7708333333333334</v>
      </c>
      <c r="D13" s="28" t="s">
        <v>92</v>
      </c>
      <c r="E13" s="13"/>
      <c r="F13" s="14"/>
      <c r="G13" s="12" t="s">
        <v>93</v>
      </c>
      <c r="H13" s="15" t="s">
        <v>50</v>
      </c>
      <c r="I13" s="16" t="s">
        <v>22</v>
      </c>
      <c r="J13" s="1">
        <f t="shared" si="1"/>
      </c>
      <c r="K13" s="1">
        <f t="shared" si="2"/>
      </c>
      <c r="M13" s="17" t="str">
        <f aca="true" t="shared" si="3" ref="M13:U16">BL15</f>
        <v>Spain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9">
        <f t="shared" si="3"/>
        <v>0</v>
      </c>
      <c r="W13" s="1" t="s">
        <v>31</v>
      </c>
    </row>
    <row r="14" spans="2:31" ht="13.5" thickBot="1">
      <c r="B14" s="10">
        <v>37408</v>
      </c>
      <c r="C14" s="11">
        <v>0.8541666666666666</v>
      </c>
      <c r="D14" s="28" t="s">
        <v>77</v>
      </c>
      <c r="E14" s="13"/>
      <c r="F14" s="14"/>
      <c r="G14" s="12" t="s">
        <v>78</v>
      </c>
      <c r="H14" s="15" t="s">
        <v>51</v>
      </c>
      <c r="I14" s="16" t="s">
        <v>26</v>
      </c>
      <c r="J14" s="1">
        <f t="shared" si="1"/>
      </c>
      <c r="K14" s="1">
        <f t="shared" si="2"/>
      </c>
      <c r="M14" s="17" t="str">
        <f t="shared" si="3"/>
        <v>Slovenia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  <c r="T14" s="18">
        <f t="shared" si="3"/>
        <v>0</v>
      </c>
      <c r="U14" s="19">
        <f t="shared" si="3"/>
        <v>0</v>
      </c>
      <c r="X14" s="1" t="s">
        <v>27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28</v>
      </c>
    </row>
    <row r="15" spans="2:72" ht="13.5" thickBot="1">
      <c r="B15" s="10">
        <v>37773</v>
      </c>
      <c r="C15" s="11">
        <v>0.6458333333333334</v>
      </c>
      <c r="D15" s="28" t="s">
        <v>98</v>
      </c>
      <c r="E15" s="13"/>
      <c r="F15" s="14"/>
      <c r="G15" s="12" t="s">
        <v>99</v>
      </c>
      <c r="H15" s="15" t="s">
        <v>44</v>
      </c>
      <c r="I15" s="16" t="s">
        <v>53</v>
      </c>
      <c r="J15" s="1">
        <f t="shared" si="1"/>
      </c>
      <c r="K15" s="1">
        <f t="shared" si="2"/>
      </c>
      <c r="M15" s="17" t="str">
        <f t="shared" si="3"/>
        <v>Paraguay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0</v>
      </c>
      <c r="S15" s="18">
        <f t="shared" si="3"/>
        <v>0</v>
      </c>
      <c r="T15" s="18">
        <f t="shared" si="3"/>
        <v>0</v>
      </c>
      <c r="U15" s="19">
        <f t="shared" si="3"/>
        <v>0</v>
      </c>
      <c r="W15" s="1" t="s">
        <v>77</v>
      </c>
      <c r="X15" s="1">
        <f>COUNT(Spain_Played)</f>
        <v>0</v>
      </c>
      <c r="Y15" s="1">
        <f>COUNTIF(Groupstage_Winners,"Spain")</f>
        <v>0</v>
      </c>
      <c r="Z15" s="1">
        <f>COUNTIF(Groupstage_Losers,"Spain")</f>
        <v>0</v>
      </c>
      <c r="AA15" s="1">
        <f>X15-(Y15+Z15)</f>
        <v>0</v>
      </c>
      <c r="AB15" s="1">
        <f>SUM(Spain_Played)</f>
        <v>0</v>
      </c>
      <c r="AC15" s="1">
        <f>SUM(Spain_Against)</f>
        <v>0</v>
      </c>
      <c r="AD15" s="1">
        <f>AB15-AC15</f>
        <v>0</v>
      </c>
      <c r="AE15" s="1">
        <f>Y15*Winpoints+AA15*Drawpoints</f>
        <v>0</v>
      </c>
      <c r="AF15" s="1" t="str">
        <f>IF($AE15&gt;=$AE16,$W15,$W16)</f>
        <v>Spain</v>
      </c>
      <c r="AG15" s="1">
        <f>VLOOKUP($AF15,$W15:$AE18,9,FALSE)</f>
        <v>0</v>
      </c>
      <c r="AH15" s="1" t="str">
        <f>IF($AG15&gt;=$AG17,$AF15,$AF17)</f>
        <v>Spain</v>
      </c>
      <c r="AI15" s="1">
        <f>VLOOKUP($AH15,$W15:$AE18,9,FALSE)</f>
        <v>0</v>
      </c>
      <c r="AJ15" s="1" t="str">
        <f>IF($AI15&gt;=$AI18,$AH15,$AH18)</f>
        <v>Spain</v>
      </c>
      <c r="AK15" s="1">
        <f>VLOOKUP($AJ15,$W15:$AE18,9,FALSE)</f>
        <v>0</v>
      </c>
      <c r="AL15" s="1">
        <f>VLOOKUP($AJ15,$W15:$AE18,8,FALSE)</f>
        <v>0</v>
      </c>
      <c r="AM15" s="1" t="str">
        <f>IF(AND($AK15=$AK16,$AL16&gt;$AL15),$AJ16,$AJ15)</f>
        <v>Spain</v>
      </c>
      <c r="AN15" s="1">
        <f>VLOOKUP($AM15,$W15:$AE18,9,FALSE)</f>
        <v>0</v>
      </c>
      <c r="AO15" s="1">
        <f>VLOOKUP($AM15,$W15:$AE18,8,FALSE)</f>
        <v>0</v>
      </c>
      <c r="AP15" s="1" t="str">
        <f>IF(AND($AN15=$AN17,$AO17&gt;$AO15),$AM17,$AM15)</f>
        <v>Spain</v>
      </c>
      <c r="AQ15" s="1">
        <f>VLOOKUP($AP15,$W15:$AE18,9,FALSE)</f>
        <v>0</v>
      </c>
      <c r="AR15" s="1">
        <f>VLOOKUP($AP15,$W15:$AE18,8,FALSE)</f>
        <v>0</v>
      </c>
      <c r="AS15" s="1" t="str">
        <f>IF(AND($AQ15=$AQ18,$AR18&gt;$AR15),$AP18,$AP15)</f>
        <v>Spain</v>
      </c>
      <c r="AT15" s="1">
        <f>VLOOKUP($AS15,$W15:$AE18,9,FALSE)</f>
        <v>0</v>
      </c>
      <c r="AU15" s="1">
        <f>VLOOKUP($AS15,$W15:$AE18,8,FALSE)</f>
        <v>0</v>
      </c>
      <c r="AV15" s="1">
        <f>VLOOKUP($AS15,$W15:$AE18,6,FALSE)</f>
        <v>0</v>
      </c>
      <c r="AW15" s="1" t="str">
        <f>IF(AND($AT15=$AT16,$AU15=$AU16,$AV16&gt;$AV15),$AS16,$AS15)</f>
        <v>Spain</v>
      </c>
      <c r="AX15" s="1">
        <f>VLOOKUP($AW15,$W15:$AE18,9,FALSE)</f>
        <v>0</v>
      </c>
      <c r="AY15" s="1">
        <f>VLOOKUP($AW15,$W15:$AE18,8,FALSE)</f>
        <v>0</v>
      </c>
      <c r="AZ15" s="1">
        <f>VLOOKUP($AW15,$W15:$AE18,6,FALSE)</f>
        <v>0</v>
      </c>
      <c r="BA15" s="1" t="str">
        <f>IF(AND($AX15=$AX17,$AY15=$AY17,$AZ17&gt;$AZ15),$AW17,$AW15)</f>
        <v>Spain</v>
      </c>
      <c r="BB15" s="1">
        <f>VLOOKUP($BA15,$W15:$AE18,9,FALSE)</f>
        <v>0</v>
      </c>
      <c r="BC15" s="1">
        <f>VLOOKUP($BA15,$W15:$AE18,8,FALSE)</f>
        <v>0</v>
      </c>
      <c r="BD15" s="1">
        <f>VLOOKUP($BA15,$W15:$AE18,6,FALSE)</f>
        <v>0</v>
      </c>
      <c r="BE15" s="1" t="str">
        <f>IF(AND($BB15=$BB18,$BC15=$BC18,$BD18&gt;$BD15),$BA18,$BA15)</f>
        <v>Spain</v>
      </c>
      <c r="BF15" s="1">
        <f>VLOOKUP($BE15,$W15:$AE18,9,FALSE)</f>
        <v>0</v>
      </c>
      <c r="BG15" s="1">
        <f>VLOOKUP($BE15,$W15:$AE18,8,FALSE)</f>
        <v>0</v>
      </c>
      <c r="BH15" s="1">
        <f>VLOOKUP($BE15,$W15:$AE18,6,FALSE)</f>
        <v>0</v>
      </c>
      <c r="BL15" s="1" t="str">
        <f>BE15</f>
        <v>Spain</v>
      </c>
      <c r="BM15" s="1">
        <f>VLOOKUP($BL15,$W15:$AE18,2,FALSE)</f>
        <v>0</v>
      </c>
      <c r="BN15" s="1">
        <f>VLOOKUP($BL15,$W15:$AE18,3,FALSE)</f>
        <v>0</v>
      </c>
      <c r="BO15" s="1">
        <f>VLOOKUP($BL15,$W15:$AE18,4,FALSE)</f>
        <v>0</v>
      </c>
      <c r="BP15" s="1">
        <f>VLOOKUP($BL15,$W15:$AE18,5,FALSE)</f>
        <v>0</v>
      </c>
      <c r="BQ15" s="1">
        <f>VLOOKUP($BL15,$W15:$AE18,6,FALSE)</f>
        <v>0</v>
      </c>
      <c r="BR15" s="1">
        <f>VLOOKUP($BL15,$W15:$AE18,7,FALSE)</f>
        <v>0</v>
      </c>
      <c r="BS15" s="1">
        <f>VLOOKUP($BL15,$W15:$AE18,8,FALSE)</f>
        <v>0</v>
      </c>
      <c r="BT15" s="1">
        <f>VLOOKUP($BL15,$W15:$AE18,9,FALSE)</f>
        <v>0</v>
      </c>
    </row>
    <row r="16" spans="2:72" ht="13.5" thickBot="1">
      <c r="B16" s="10">
        <v>37773</v>
      </c>
      <c r="C16" s="11">
        <v>0.75</v>
      </c>
      <c r="D16" s="28" t="s">
        <v>81</v>
      </c>
      <c r="E16" s="13"/>
      <c r="F16" s="14"/>
      <c r="G16" s="12" t="s">
        <v>82</v>
      </c>
      <c r="H16" s="15" t="s">
        <v>45</v>
      </c>
      <c r="I16" s="16" t="s">
        <v>32</v>
      </c>
      <c r="J16" s="1">
        <f t="shared" si="1"/>
      </c>
      <c r="K16" s="1">
        <f t="shared" si="2"/>
      </c>
      <c r="M16" s="20" t="str">
        <f t="shared" si="3"/>
        <v>South Africa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2">
        <f t="shared" si="3"/>
        <v>0</v>
      </c>
      <c r="W16" s="1" t="s">
        <v>78</v>
      </c>
      <c r="X16" s="1">
        <f>COUNT(Slovenia_Played)</f>
        <v>0</v>
      </c>
      <c r="Y16" s="1">
        <f>COUNTIF(Groupstage_Winners,"Slovenia")</f>
        <v>0</v>
      </c>
      <c r="Z16" s="1">
        <f>COUNTIF(Groupstage_Losers,"Slovenia")</f>
        <v>0</v>
      </c>
      <c r="AA16" s="1">
        <f>X16-(Y16+Z16)</f>
        <v>0</v>
      </c>
      <c r="AB16" s="1">
        <f>SUM(Slovenia_Played)</f>
        <v>0</v>
      </c>
      <c r="AC16" s="1">
        <f>SUM(Slovenia_Against)</f>
        <v>0</v>
      </c>
      <c r="AD16" s="1">
        <f>AB16-AC16</f>
        <v>0</v>
      </c>
      <c r="AE16" s="1">
        <f>Y16*Winpoints+AA16*Drawpoints</f>
        <v>0</v>
      </c>
      <c r="AF16" s="1" t="str">
        <f>IF($AE16&lt;=$AE15,$W16,$W15)</f>
        <v>Slovenia</v>
      </c>
      <c r="AG16" s="1">
        <f>VLOOKUP($AF16,$W15:$AE18,9,FALSE)</f>
        <v>0</v>
      </c>
      <c r="AH16" s="1" t="str">
        <f>IF(AG16&gt;=AG18,AF16,AF18)</f>
        <v>Slovenia</v>
      </c>
      <c r="AI16" s="1">
        <f>VLOOKUP($AH16,$W15:$AE18,9,FALSE)</f>
        <v>0</v>
      </c>
      <c r="AJ16" s="1" t="str">
        <f>IF($AI16&gt;=$AI17,$AH16,$AH17)</f>
        <v>Slovenia</v>
      </c>
      <c r="AK16" s="1">
        <f>VLOOKUP($AJ16,$W15:$AE18,9,FALSE)</f>
        <v>0</v>
      </c>
      <c r="AL16" s="1">
        <f>VLOOKUP($AJ16,$W15:$AE18,8,FALSE)</f>
        <v>0</v>
      </c>
      <c r="AM16" s="1" t="str">
        <f>IF(AND($AK15=$AK16,$AL16&gt;$AL15),$AJ15,$AJ16)</f>
        <v>Slovenia</v>
      </c>
      <c r="AN16" s="1">
        <f>VLOOKUP($AM16,$W15:$AE18,9,FALSE)</f>
        <v>0</v>
      </c>
      <c r="AO16" s="1">
        <f>VLOOKUP($AM16,$W15:$AE18,8,FALSE)</f>
        <v>0</v>
      </c>
      <c r="AP16" s="1" t="str">
        <f>IF(AND($AN16=$AN18,$AO18&gt;$AO16),$AM18,$AM16)</f>
        <v>Slovenia</v>
      </c>
      <c r="AQ16" s="1">
        <f>VLOOKUP($AP16,$W15:$AE18,9,FALSE)</f>
        <v>0</v>
      </c>
      <c r="AR16" s="1">
        <f>VLOOKUP($AP16,$W15:$AE18,8,FALSE)</f>
        <v>0</v>
      </c>
      <c r="AS16" s="1" t="str">
        <f>IF(AND($AQ16=$AQ17,$AR17&gt;$AR16),$AP17,$AP16)</f>
        <v>Slovenia</v>
      </c>
      <c r="AT16" s="1">
        <f>VLOOKUP($AS16,$W15:$AE18,9,FALSE)</f>
        <v>0</v>
      </c>
      <c r="AU16" s="1">
        <f>VLOOKUP($AS16,$W15:$AE18,8,FALSE)</f>
        <v>0</v>
      </c>
      <c r="AV16" s="1">
        <f>VLOOKUP($AS16,$W15:$AE18,6,FALSE)</f>
        <v>0</v>
      </c>
      <c r="AW16" s="1" t="str">
        <f>IF(AND($AT15=$AT16,$AU15=$AU16,$AV16&gt;$AV15),$AS15,$AS16)</f>
        <v>Slovenia</v>
      </c>
      <c r="AX16" s="1">
        <f>VLOOKUP($AW16,$W15:$AE18,9,FALSE)</f>
        <v>0</v>
      </c>
      <c r="AY16" s="1">
        <f>VLOOKUP($AW16,$W15:$AE18,8,FALSE)</f>
        <v>0</v>
      </c>
      <c r="AZ16" s="1">
        <f>VLOOKUP($AW16,$W15:$AE18,6,FALSE)</f>
        <v>0</v>
      </c>
      <c r="BA16" s="1" t="str">
        <f>IF(AND($AX16=$AX18,$AY16=$AY18,$AZ18&gt;$AZ16),$AW18,$AW16)</f>
        <v>Slovenia</v>
      </c>
      <c r="BB16" s="1">
        <f>VLOOKUP($BA16,$W15:$AE18,9,FALSE)</f>
        <v>0</v>
      </c>
      <c r="BC16" s="1">
        <f>VLOOKUP($BA16,$W15:$AE18,8,FALSE)</f>
        <v>0</v>
      </c>
      <c r="BD16" s="1">
        <f>VLOOKUP($BA16,$W15:$AE18,6,FALSE)</f>
        <v>0</v>
      </c>
      <c r="BE16" s="1" t="str">
        <f>IF(AND($BB16=$BB17,$BC16=$BC17,$BD17&gt;$BD16),$BA17,$BA16)</f>
        <v>Slovenia</v>
      </c>
      <c r="BF16" s="1">
        <f>VLOOKUP($BE16,$W15:$AE18,9,FALSE)</f>
        <v>0</v>
      </c>
      <c r="BG16" s="1">
        <f>VLOOKUP($BE16,$W15:$AE18,8,FALSE)</f>
        <v>0</v>
      </c>
      <c r="BH16" s="1">
        <f>VLOOKUP($BE16,$W15:$AE18,6,FALSE)</f>
        <v>0</v>
      </c>
      <c r="BL16" s="1" t="str">
        <f>BE16</f>
        <v>Slovenia</v>
      </c>
      <c r="BM16" s="1">
        <f>VLOOKUP($BL16,$W15:$AE18,2,FALSE)</f>
        <v>0</v>
      </c>
      <c r="BN16" s="1">
        <f>VLOOKUP($BL16,$W15:$AE18,3,FALSE)</f>
        <v>0</v>
      </c>
      <c r="BO16" s="1">
        <f>VLOOKUP($BL16,$W15:$AE18,4,FALSE)</f>
        <v>0</v>
      </c>
      <c r="BP16" s="1">
        <f>VLOOKUP($BL16,$W15:$AE18,5,FALSE)</f>
        <v>0</v>
      </c>
      <c r="BQ16" s="1">
        <f>VLOOKUP($BL16,$W15:$AE18,6,FALSE)</f>
        <v>0</v>
      </c>
      <c r="BR16" s="1">
        <f>VLOOKUP($BL16,$W15:$AE18,7,FALSE)</f>
        <v>0</v>
      </c>
      <c r="BS16" s="1">
        <f>VLOOKUP($BL16,$W15:$AE18,8,FALSE)</f>
        <v>0</v>
      </c>
      <c r="BT16" s="1">
        <f>VLOOKUP($BL16,$W15:$AE18,9,FALSE)</f>
        <v>0</v>
      </c>
    </row>
    <row r="17" spans="2:72" ht="13.5" thickBot="1">
      <c r="B17" s="10">
        <v>37773</v>
      </c>
      <c r="C17" s="11">
        <v>0.8541666666666666</v>
      </c>
      <c r="D17" s="28" t="s">
        <v>96</v>
      </c>
      <c r="E17" s="13"/>
      <c r="F17" s="14"/>
      <c r="G17" s="12" t="s">
        <v>97</v>
      </c>
      <c r="H17" s="15" t="s">
        <v>47</v>
      </c>
      <c r="I17" s="16" t="s">
        <v>53</v>
      </c>
      <c r="J17" s="1">
        <f t="shared" si="1"/>
      </c>
      <c r="K17" s="1">
        <f t="shared" si="2"/>
      </c>
      <c r="W17" s="1" t="s">
        <v>79</v>
      </c>
      <c r="X17" s="1">
        <f>COUNT(Paraguay_Played)</f>
        <v>0</v>
      </c>
      <c r="Y17" s="1">
        <f>COUNTIF(Groupstage_Winners,"Paraguay")</f>
        <v>0</v>
      </c>
      <c r="Z17" s="1">
        <f>COUNTIF(Groupstage_Losers,"Paraguay")</f>
        <v>0</v>
      </c>
      <c r="AA17" s="1">
        <f>X17-(Y17+Z17)</f>
        <v>0</v>
      </c>
      <c r="AB17" s="1">
        <f>SUM(Paraguay_Played)</f>
        <v>0</v>
      </c>
      <c r="AC17" s="1">
        <f>SUM(Paraguay_Against)</f>
        <v>0</v>
      </c>
      <c r="AD17" s="1">
        <f>AB17-AC17</f>
        <v>0</v>
      </c>
      <c r="AE17" s="1">
        <f>Y17*Winpoints+AA17*Drawpoints</f>
        <v>0</v>
      </c>
      <c r="AF17" s="1" t="str">
        <f>IF($AE17&gt;=$AE18,$W17,$W18)</f>
        <v>Paraguay</v>
      </c>
      <c r="AG17" s="1">
        <f>VLOOKUP($AF17,$W15:$AE18,9,FALSE)</f>
        <v>0</v>
      </c>
      <c r="AH17" s="1" t="str">
        <f>IF($AG17&lt;=$AG15,$AF17,$AF15)</f>
        <v>Paraguay</v>
      </c>
      <c r="AI17" s="1">
        <f>VLOOKUP($AH17,$W15:$AE18,9,FALSE)</f>
        <v>0</v>
      </c>
      <c r="AJ17" s="1" t="str">
        <f>IF($AI17&lt;=$AI16,$AH17,$AH16)</f>
        <v>Paraguay</v>
      </c>
      <c r="AK17" s="1">
        <f>VLOOKUP($AJ17,$W15:$AE18,9,FALSE)</f>
        <v>0</v>
      </c>
      <c r="AL17" s="1">
        <f>VLOOKUP($AJ17,$W15:$AE18,8,FALSE)</f>
        <v>0</v>
      </c>
      <c r="AM17" s="1" t="str">
        <f>IF(AND($AK17=$AK18,$AL18&gt;$AL17),$AJ18,$AJ17)</f>
        <v>Paraguay</v>
      </c>
      <c r="AN17" s="1">
        <f>VLOOKUP($AM17,$W15:$AE18,9,FALSE)</f>
        <v>0</v>
      </c>
      <c r="AO17" s="1">
        <f>VLOOKUP($AM17,$W15:$AE18,8,FALSE)</f>
        <v>0</v>
      </c>
      <c r="AP17" s="1" t="str">
        <f>IF(AND($AN15=$AN17,$AO17&gt;$AO15),$AM15,$AM17)</f>
        <v>Paraguay</v>
      </c>
      <c r="AQ17" s="1">
        <f>VLOOKUP($AP17,$W15:$AE18,9,FALSE)</f>
        <v>0</v>
      </c>
      <c r="AR17" s="1">
        <f>VLOOKUP($AP17,$W15:$AE18,8,FALSE)</f>
        <v>0</v>
      </c>
      <c r="AS17" s="1" t="str">
        <f>IF(AND($AQ16=$AQ17,$AR17&gt;$AR16),$AP16,$AP17)</f>
        <v>Paraguay</v>
      </c>
      <c r="AT17" s="1">
        <f>VLOOKUP($AS17,$W15:$AE18,9,FALSE)</f>
        <v>0</v>
      </c>
      <c r="AU17" s="1">
        <f>VLOOKUP($AS17,$W15:$AE18,8,FALSE)</f>
        <v>0</v>
      </c>
      <c r="AV17" s="1">
        <f>VLOOKUP($AS17,$W15:$AE18,6,FALSE)</f>
        <v>0</v>
      </c>
      <c r="AW17" s="1" t="str">
        <f>IF(AND($AT17=$AT18,$AU17=$AU18,$AV18&gt;$AV17),$AS18,$AS17)</f>
        <v>Paraguay</v>
      </c>
      <c r="AX17" s="1">
        <f>VLOOKUP($AW17,$W15:$AE18,9,FALSE)</f>
        <v>0</v>
      </c>
      <c r="AY17" s="1">
        <f>VLOOKUP($AW17,$W15:$AE18,8,FALSE)</f>
        <v>0</v>
      </c>
      <c r="AZ17" s="1">
        <f>VLOOKUP($AW17,$W15:$AE18,6,FALSE)</f>
        <v>0</v>
      </c>
      <c r="BA17" s="1" t="str">
        <f>IF(AND($AX15=$AX17,$AY15=$AY17,$AZ16&gt;$AZ15),$AW15,$AW17)</f>
        <v>Paraguay</v>
      </c>
      <c r="BB17" s="1">
        <f>VLOOKUP($BA17,$W15:$AE18,9,FALSE)</f>
        <v>0</v>
      </c>
      <c r="BC17" s="1">
        <f>VLOOKUP($BA17,$W15:$AE18,8,FALSE)</f>
        <v>0</v>
      </c>
      <c r="BD17" s="1">
        <f>VLOOKUP($BA17,$W15:$AE18,6,FALSE)</f>
        <v>0</v>
      </c>
      <c r="BE17" s="1" t="str">
        <f>IF(AND($BB16=$BB17,$BC16=$BC17,$BD17&gt;$BD16),$BA16,$BA17)</f>
        <v>Paraguay</v>
      </c>
      <c r="BF17" s="1">
        <f>VLOOKUP($BE17,$W15:$AE18,9,FALSE)</f>
        <v>0</v>
      </c>
      <c r="BG17" s="1">
        <f>VLOOKUP($BE17,$W15:$AE18,8,FALSE)</f>
        <v>0</v>
      </c>
      <c r="BH17" s="1">
        <f>VLOOKUP($BE17,$W15:$AE18,6,FALSE)</f>
        <v>0</v>
      </c>
      <c r="BL17" s="1" t="str">
        <f>BE17</f>
        <v>Paraguay</v>
      </c>
      <c r="BM17" s="1">
        <f>VLOOKUP($BL17,$W15:$AE18,2,FALSE)</f>
        <v>0</v>
      </c>
      <c r="BN17" s="1">
        <f>VLOOKUP($BL17,$W15:$AE18,3,FALSE)</f>
        <v>0</v>
      </c>
      <c r="BO17" s="1">
        <f>VLOOKUP($BL17,$W15:$AE18,4,FALSE)</f>
        <v>0</v>
      </c>
      <c r="BP17" s="1">
        <f>VLOOKUP($BL17,$W15:$AE18,5,FALSE)</f>
        <v>0</v>
      </c>
      <c r="BQ17" s="1">
        <f>VLOOKUP($BL17,$W15:$AE18,6,FALSE)</f>
        <v>0</v>
      </c>
      <c r="BR17" s="1">
        <f>VLOOKUP($BL17,$W15:$AE18,7,FALSE)</f>
        <v>0</v>
      </c>
      <c r="BS17" s="1">
        <f>VLOOKUP($BL17,$W15:$AE18,8,FALSE)</f>
        <v>0</v>
      </c>
      <c r="BT17" s="1">
        <f>VLOOKUP($BL17,$W15:$AE18,9,FALSE)</f>
        <v>0</v>
      </c>
    </row>
    <row r="18" spans="2:72" ht="15.75" thickBot="1">
      <c r="B18" s="10">
        <v>38139</v>
      </c>
      <c r="C18" s="11">
        <v>0.6458333333333334</v>
      </c>
      <c r="D18" s="28" t="s">
        <v>83</v>
      </c>
      <c r="E18" s="13"/>
      <c r="F18" s="14"/>
      <c r="G18" s="12" t="s">
        <v>84</v>
      </c>
      <c r="H18" s="15" t="s">
        <v>51</v>
      </c>
      <c r="I18" s="16" t="s">
        <v>32</v>
      </c>
      <c r="J18" s="1">
        <f t="shared" si="1"/>
      </c>
      <c r="K18" s="1">
        <f t="shared" si="2"/>
      </c>
      <c r="M18" s="2" t="s">
        <v>33</v>
      </c>
      <c r="N18" s="3"/>
      <c r="O18" s="3"/>
      <c r="P18" s="3"/>
      <c r="Q18" s="3"/>
      <c r="R18" s="3"/>
      <c r="S18" s="3"/>
      <c r="T18" s="3"/>
      <c r="U18" s="4"/>
      <c r="W18" s="1" t="s">
        <v>80</v>
      </c>
      <c r="X18" s="1">
        <f>COUNT(South_Africa_Played)</f>
        <v>0</v>
      </c>
      <c r="Y18" s="1">
        <f>COUNTIF(Groupstage_Winners,"South Africa")</f>
        <v>0</v>
      </c>
      <c r="Z18" s="1">
        <f>COUNTIF(Groupstage_Losers,"South Africa")</f>
        <v>0</v>
      </c>
      <c r="AA18" s="1">
        <f>X18-(Y18+Z18)</f>
        <v>0</v>
      </c>
      <c r="AB18" s="1">
        <f>SUM(South_Africa_Played)</f>
        <v>0</v>
      </c>
      <c r="AC18" s="1">
        <f>SUM(South_Africa_Against)</f>
        <v>0</v>
      </c>
      <c r="AD18" s="1">
        <f>AB18-AC18</f>
        <v>0</v>
      </c>
      <c r="AE18" s="1">
        <f>Y18*Winpoints+AA18*Drawpoints</f>
        <v>0</v>
      </c>
      <c r="AF18" s="1" t="str">
        <f>IF($AE18&lt;=$AE17,$W18,$W17)</f>
        <v>South Africa</v>
      </c>
      <c r="AG18" s="1">
        <f>VLOOKUP($AF18,$W15:$AE18,9,FALSE)</f>
        <v>0</v>
      </c>
      <c r="AH18" s="1" t="str">
        <f>IF(AG18&lt;=AG16,AF18,AF16)</f>
        <v>South Africa</v>
      </c>
      <c r="AI18" s="1">
        <f>VLOOKUP($AH18,$W15:$AE18,9,FALSE)</f>
        <v>0</v>
      </c>
      <c r="AJ18" s="1" t="str">
        <f>IF($AI18&lt;=$AI15,$AH18,$AH15)</f>
        <v>South Africa</v>
      </c>
      <c r="AK18" s="1">
        <f>VLOOKUP($AJ18,$W15:$AE18,9,FALSE)</f>
        <v>0</v>
      </c>
      <c r="AL18" s="1">
        <f>VLOOKUP($AJ18,$W15:$AE18,8,FALSE)</f>
        <v>0</v>
      </c>
      <c r="AM18" s="1" t="str">
        <f>IF(AND($AK17=$AK18,$AL18&gt;$AL17),$AJ17,$AJ18)</f>
        <v>South Africa</v>
      </c>
      <c r="AN18" s="1">
        <f>VLOOKUP($AM18,$W15:$AE18,9,FALSE)</f>
        <v>0</v>
      </c>
      <c r="AO18" s="1">
        <f>VLOOKUP($AM18,$W15:$AE18,8,FALSE)</f>
        <v>0</v>
      </c>
      <c r="AP18" s="1" t="str">
        <f>IF(AND($AN16=$AN18,$AO18&gt;$AO16),$AM16,$AM18)</f>
        <v>South Africa</v>
      </c>
      <c r="AQ18" s="1">
        <f>VLOOKUP($AP18,$W15:$AE18,9,FALSE)</f>
        <v>0</v>
      </c>
      <c r="AR18" s="1">
        <f>VLOOKUP($AP18,$W15:$AE18,8,FALSE)</f>
        <v>0</v>
      </c>
      <c r="AS18" s="1" t="str">
        <f>IF(AND($AQ15=$AQ18,$AR18&gt;$AR15),$AP15,$AP18)</f>
        <v>South Africa</v>
      </c>
      <c r="AT18" s="1">
        <f>VLOOKUP($AS18,$W15:$AE18,9,FALSE)</f>
        <v>0</v>
      </c>
      <c r="AU18" s="1">
        <f>VLOOKUP($AS18,$W15:$AE18,8,FALSE)</f>
        <v>0</v>
      </c>
      <c r="AV18" s="1">
        <f>VLOOKUP($AS18,$W15:$AE18,6,FALSE)</f>
        <v>0</v>
      </c>
      <c r="AW18" s="1" t="str">
        <f>IF(AND($AT17=$AT18,$AU17=$AU18,$AV18&gt;$AV17),$AS17,$AS18)</f>
        <v>South Africa</v>
      </c>
      <c r="AX18" s="1">
        <f>VLOOKUP($AW18,$W15:$AE18,9,FALSE)</f>
        <v>0</v>
      </c>
      <c r="AY18" s="1">
        <f>VLOOKUP($AW18,$W15:$AE18,8,FALSE)</f>
        <v>0</v>
      </c>
      <c r="AZ18" s="1">
        <f>VLOOKUP($AW18,$W15:$AE18,6,FALSE)</f>
        <v>0</v>
      </c>
      <c r="BA18" s="1" t="str">
        <f>IF(AND($AX16=$AX18,$AY16=$AY18,$AZ18&gt;$AZ16),$AW16,$AW18)</f>
        <v>South Africa</v>
      </c>
      <c r="BB18" s="1">
        <f>VLOOKUP($BA18,$W15:$AE18,9,FALSE)</f>
        <v>0</v>
      </c>
      <c r="BC18" s="1">
        <f>VLOOKUP($BA18,$W15:$AE18,8,FALSE)</f>
        <v>0</v>
      </c>
      <c r="BD18" s="1">
        <f>VLOOKUP($BA18,$W15:$AE18,6,FALSE)</f>
        <v>0</v>
      </c>
      <c r="BE18" s="1" t="str">
        <f>IF(AND($BB15=$BB18,$BC15=$BC18,$BD18&gt;$BD15),$BA15,$BA18)</f>
        <v>South Africa</v>
      </c>
      <c r="BF18" s="1">
        <f>VLOOKUP($BE18,$W15:$AE18,9,FALSE)</f>
        <v>0</v>
      </c>
      <c r="BG18" s="1">
        <f>VLOOKUP($BE18,$W15:$AE18,8,FALSE)</f>
        <v>0</v>
      </c>
      <c r="BH18" s="1">
        <f>VLOOKUP($BE18,$W15:$AE18,6,FALSE)</f>
        <v>0</v>
      </c>
      <c r="BL18" s="1" t="str">
        <f>BE18</f>
        <v>South Africa</v>
      </c>
      <c r="BM18" s="1">
        <f>VLOOKUP($BL18,$W15:$AE18,2,FALSE)</f>
        <v>0</v>
      </c>
      <c r="BN18" s="1">
        <f>VLOOKUP($BL18,$W15:$AE18,3,FALSE)</f>
        <v>0</v>
      </c>
      <c r="BO18" s="1">
        <f>VLOOKUP($BL18,$W15:$AE18,4,FALSE)</f>
        <v>0</v>
      </c>
      <c r="BP18" s="1">
        <f>VLOOKUP($BL18,$W15:$AE18,5,FALSE)</f>
        <v>0</v>
      </c>
      <c r="BQ18" s="1">
        <f>VLOOKUP($BL18,$W15:$AE18,6,FALSE)</f>
        <v>0</v>
      </c>
      <c r="BR18" s="1">
        <f>VLOOKUP($BL18,$W15:$AE18,7,FALSE)</f>
        <v>0</v>
      </c>
      <c r="BS18" s="1">
        <f>VLOOKUP($BL18,$W15:$AE18,8,FALSE)</f>
        <v>0</v>
      </c>
      <c r="BT18" s="1">
        <f>VLOOKUP($BL18,$W15:$AE18,9,FALSE)</f>
        <v>0</v>
      </c>
    </row>
    <row r="19" spans="2:21" ht="13.5" thickBot="1">
      <c r="B19" s="10">
        <v>38139</v>
      </c>
      <c r="C19" s="11">
        <v>0.75</v>
      </c>
      <c r="D19" s="28" t="s">
        <v>55</v>
      </c>
      <c r="E19" s="13"/>
      <c r="F19" s="14"/>
      <c r="G19" s="12" t="s">
        <v>100</v>
      </c>
      <c r="H19" s="15" t="s">
        <v>48</v>
      </c>
      <c r="I19" s="16" t="s">
        <v>54</v>
      </c>
      <c r="J19" s="1">
        <f t="shared" si="1"/>
      </c>
      <c r="K19" s="1">
        <f t="shared" si="2"/>
      </c>
      <c r="M19" s="7"/>
      <c r="N19" s="8" t="s">
        <v>18</v>
      </c>
      <c r="O19" s="8" t="s">
        <v>19</v>
      </c>
      <c r="P19" s="8" t="s">
        <v>20</v>
      </c>
      <c r="Q19" s="8" t="s">
        <v>21</v>
      </c>
      <c r="R19" s="8" t="s">
        <v>22</v>
      </c>
      <c r="S19" s="8" t="s">
        <v>23</v>
      </c>
      <c r="T19" s="8" t="s">
        <v>24</v>
      </c>
      <c r="U19" s="9" t="s">
        <v>25</v>
      </c>
    </row>
    <row r="20" spans="2:23" ht="13.5" thickBot="1">
      <c r="B20" s="10">
        <v>38139</v>
      </c>
      <c r="C20" s="11">
        <v>0.8541666666666666</v>
      </c>
      <c r="D20" s="28" t="s">
        <v>52</v>
      </c>
      <c r="E20" s="13"/>
      <c r="F20" s="14"/>
      <c r="G20" s="12" t="s">
        <v>85</v>
      </c>
      <c r="H20" s="15" t="s">
        <v>49</v>
      </c>
      <c r="I20" s="16" t="s">
        <v>21</v>
      </c>
      <c r="J20" s="1">
        <f t="shared" si="1"/>
      </c>
      <c r="K20" s="1">
        <f t="shared" si="2"/>
      </c>
      <c r="M20" s="17" t="str">
        <f aca="true" t="shared" si="4" ref="M20:U23">BL22</f>
        <v>Brazil</v>
      </c>
      <c r="N20" s="18">
        <f t="shared" si="4"/>
        <v>0</v>
      </c>
      <c r="O20" s="18">
        <f t="shared" si="4"/>
        <v>0</v>
      </c>
      <c r="P20" s="18">
        <f t="shared" si="4"/>
        <v>0</v>
      </c>
      <c r="Q20" s="18">
        <f t="shared" si="4"/>
        <v>0</v>
      </c>
      <c r="R20" s="18">
        <f t="shared" si="4"/>
        <v>0</v>
      </c>
      <c r="S20" s="18">
        <f t="shared" si="4"/>
        <v>0</v>
      </c>
      <c r="T20" s="18">
        <f t="shared" si="4"/>
        <v>0</v>
      </c>
      <c r="U20" s="19">
        <f t="shared" si="4"/>
        <v>0</v>
      </c>
      <c r="W20" s="1" t="s">
        <v>33</v>
      </c>
    </row>
    <row r="21" spans="2:31" ht="13.5" thickBot="1">
      <c r="B21" s="10">
        <v>38504</v>
      </c>
      <c r="C21" s="11">
        <v>0.6458333333333334</v>
      </c>
      <c r="D21" s="28" t="s">
        <v>101</v>
      </c>
      <c r="E21" s="13"/>
      <c r="F21" s="14"/>
      <c r="G21" s="12" t="s">
        <v>102</v>
      </c>
      <c r="H21" s="15" t="s">
        <v>56</v>
      </c>
      <c r="I21" s="16" t="s">
        <v>54</v>
      </c>
      <c r="J21" s="1">
        <f t="shared" si="1"/>
      </c>
      <c r="K21" s="1">
        <f t="shared" si="2"/>
      </c>
      <c r="M21" s="17" t="str">
        <f t="shared" si="4"/>
        <v>Turkey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18">
        <f t="shared" si="4"/>
        <v>0</v>
      </c>
      <c r="S21" s="18">
        <f t="shared" si="4"/>
        <v>0</v>
      </c>
      <c r="T21" s="18">
        <f t="shared" si="4"/>
        <v>0</v>
      </c>
      <c r="U21" s="19">
        <f t="shared" si="4"/>
        <v>0</v>
      </c>
      <c r="X21" s="1" t="s">
        <v>27</v>
      </c>
      <c r="Y21" s="1" t="s">
        <v>19</v>
      </c>
      <c r="Z21" s="1" t="s">
        <v>20</v>
      </c>
      <c r="AA21" s="1" t="s">
        <v>21</v>
      </c>
      <c r="AB21" s="1" t="s">
        <v>22</v>
      </c>
      <c r="AC21" s="1" t="s">
        <v>23</v>
      </c>
      <c r="AD21" s="1" t="s">
        <v>24</v>
      </c>
      <c r="AE21" s="1" t="s">
        <v>28</v>
      </c>
    </row>
    <row r="22" spans="2:72" ht="13.5" thickBot="1">
      <c r="B22" s="10">
        <v>38504</v>
      </c>
      <c r="C22" s="11">
        <v>0.75</v>
      </c>
      <c r="D22" s="28" t="s">
        <v>86</v>
      </c>
      <c r="E22" s="13"/>
      <c r="F22" s="14"/>
      <c r="G22" s="12" t="s">
        <v>87</v>
      </c>
      <c r="H22" s="15" t="s">
        <v>57</v>
      </c>
      <c r="I22" s="16" t="s">
        <v>21</v>
      </c>
      <c r="J22" s="1">
        <f t="shared" si="1"/>
      </c>
      <c r="K22" s="1">
        <f t="shared" si="2"/>
      </c>
      <c r="M22" s="17" t="str">
        <f t="shared" si="4"/>
        <v>China</v>
      </c>
      <c r="N22" s="18">
        <f t="shared" si="4"/>
        <v>0</v>
      </c>
      <c r="O22" s="18">
        <f t="shared" si="4"/>
        <v>0</v>
      </c>
      <c r="P22" s="18">
        <f t="shared" si="4"/>
        <v>0</v>
      </c>
      <c r="Q22" s="18">
        <f t="shared" si="4"/>
        <v>0</v>
      </c>
      <c r="R22" s="18">
        <f t="shared" si="4"/>
        <v>0</v>
      </c>
      <c r="S22" s="18">
        <f t="shared" si="4"/>
        <v>0</v>
      </c>
      <c r="T22" s="18">
        <f t="shared" si="4"/>
        <v>0</v>
      </c>
      <c r="U22" s="19">
        <f t="shared" si="4"/>
        <v>0</v>
      </c>
      <c r="W22" s="1" t="s">
        <v>81</v>
      </c>
      <c r="X22" s="1">
        <f>COUNT(Brazil_Played)</f>
        <v>0</v>
      </c>
      <c r="Y22" s="1">
        <f>COUNTIF(Groupstage_Winners,"Brazil")</f>
        <v>0</v>
      </c>
      <c r="Z22" s="1">
        <f>COUNTIF(Groupstage_Losers,"Brazil")</f>
        <v>0</v>
      </c>
      <c r="AA22" s="1">
        <f>X22-(Y22+Z22)</f>
        <v>0</v>
      </c>
      <c r="AB22" s="1">
        <f>SUM(Brazil_Played)</f>
        <v>0</v>
      </c>
      <c r="AC22" s="1">
        <f>SUM(Brazil_Against)</f>
        <v>0</v>
      </c>
      <c r="AD22" s="1">
        <f>AB22-AC22</f>
        <v>0</v>
      </c>
      <c r="AE22" s="1">
        <f>Y22*Winpoints+AA22*Drawpoints</f>
        <v>0</v>
      </c>
      <c r="AF22" s="1" t="str">
        <f>IF($AE22&gt;=$AE23,$W22,$W23)</f>
        <v>Brazil</v>
      </c>
      <c r="AG22" s="1">
        <f>VLOOKUP($AF22,$W22:$AE25,9,FALSE)</f>
        <v>0</v>
      </c>
      <c r="AH22" s="1" t="str">
        <f>IF($AG22&gt;=$AG24,$AF22,$AF24)</f>
        <v>Brazil</v>
      </c>
      <c r="AI22" s="1">
        <f>VLOOKUP($AH22,$W22:$AE25,9,FALSE)</f>
        <v>0</v>
      </c>
      <c r="AJ22" s="1" t="str">
        <f>IF($AI22&gt;=$AI25,$AH22,$AH25)</f>
        <v>Brazil</v>
      </c>
      <c r="AK22" s="1">
        <f>VLOOKUP($AJ22,$W22:$AE25,9,FALSE)</f>
        <v>0</v>
      </c>
      <c r="AL22" s="1">
        <f>VLOOKUP($AJ22,$W22:$AE25,8,FALSE)</f>
        <v>0</v>
      </c>
      <c r="AM22" s="1" t="str">
        <f>IF(AND($AK22=$AK23,$AL23&gt;$AL22),$AJ23,$AJ22)</f>
        <v>Brazil</v>
      </c>
      <c r="AN22" s="1">
        <f>VLOOKUP($AM22,$W22:$AE25,9,FALSE)</f>
        <v>0</v>
      </c>
      <c r="AO22" s="1">
        <f>VLOOKUP($AM22,$W22:$AE25,8,FALSE)</f>
        <v>0</v>
      </c>
      <c r="AP22" s="1" t="str">
        <f>IF(AND($AN22=$AN24,$AO24&gt;$AO22),$AM24,$AM22)</f>
        <v>Brazil</v>
      </c>
      <c r="AQ22" s="1">
        <f>VLOOKUP($AP22,$W22:$AE25,9,FALSE)</f>
        <v>0</v>
      </c>
      <c r="AR22" s="1">
        <f>VLOOKUP($AP22,$W22:$AE25,8,FALSE)</f>
        <v>0</v>
      </c>
      <c r="AS22" s="1" t="str">
        <f>IF(AND($AQ22=$AQ25,$AR25&gt;$AR22),$AP25,$AP22)</f>
        <v>Brazil</v>
      </c>
      <c r="AT22" s="1">
        <f>VLOOKUP($AS22,$W22:$AE25,9,FALSE)</f>
        <v>0</v>
      </c>
      <c r="AU22" s="1">
        <f>VLOOKUP($AS22,$W22:$AE25,8,FALSE)</f>
        <v>0</v>
      </c>
      <c r="AV22" s="1">
        <f>VLOOKUP($AS22,$W22:$AE25,6,FALSE)</f>
        <v>0</v>
      </c>
      <c r="AW22" s="1" t="str">
        <f>IF(AND($AT22=$AT23,$AU22=$AU23,$AV23&gt;$AV22),$AS23,$AS22)</f>
        <v>Brazil</v>
      </c>
      <c r="AX22" s="1">
        <f>VLOOKUP($AW22,$W22:$AE25,9,FALSE)</f>
        <v>0</v>
      </c>
      <c r="AY22" s="1">
        <f>VLOOKUP($AW22,$W22:$AE25,8,FALSE)</f>
        <v>0</v>
      </c>
      <c r="AZ22" s="1">
        <f>VLOOKUP($AW22,$W22:$AE25,6,FALSE)</f>
        <v>0</v>
      </c>
      <c r="BA22" s="1" t="str">
        <f>IF(AND($AX22=$AX24,$AY22=$AY24,$AZ24&gt;$AZ22),$AW24,$AW22)</f>
        <v>Brazil</v>
      </c>
      <c r="BB22" s="1">
        <f>VLOOKUP($BA22,$W22:$AE25,9,FALSE)</f>
        <v>0</v>
      </c>
      <c r="BC22" s="1">
        <f>VLOOKUP($BA22,$W22:$AE25,8,FALSE)</f>
        <v>0</v>
      </c>
      <c r="BD22" s="1">
        <f>VLOOKUP($BA22,$W22:$AE25,6,FALSE)</f>
        <v>0</v>
      </c>
      <c r="BE22" s="1" t="str">
        <f>IF(AND($BB22=$BB25,$BC22=$BC25,$BD25&gt;$BD22),$BA25,$BA22)</f>
        <v>Brazil</v>
      </c>
      <c r="BF22" s="1">
        <f>VLOOKUP($BE22,$W22:$AE25,9,FALSE)</f>
        <v>0</v>
      </c>
      <c r="BG22" s="1">
        <f>VLOOKUP($BE22,$W22:$AE25,8,FALSE)</f>
        <v>0</v>
      </c>
      <c r="BH22" s="1">
        <f>VLOOKUP($BE22,$W22:$AE25,6,FALSE)</f>
        <v>0</v>
      </c>
      <c r="BL22" s="1" t="str">
        <f>BE22</f>
        <v>Brazil</v>
      </c>
      <c r="BM22" s="1">
        <f>VLOOKUP($BL22,$W22:$AE25,2,FALSE)</f>
        <v>0</v>
      </c>
      <c r="BN22" s="1">
        <f>VLOOKUP($BL22,$W22:$AE25,3,FALSE)</f>
        <v>0</v>
      </c>
      <c r="BO22" s="1">
        <f>VLOOKUP($BL22,$W22:$AE25,4,FALSE)</f>
        <v>0</v>
      </c>
      <c r="BP22" s="1">
        <f>VLOOKUP($BL22,$W22:$AE25,5,FALSE)</f>
        <v>0</v>
      </c>
      <c r="BQ22" s="1">
        <f>VLOOKUP($BL22,$W22:$AE25,6,FALSE)</f>
        <v>0</v>
      </c>
      <c r="BR22" s="1">
        <f>VLOOKUP($BL22,$W22:$AE25,7,FALSE)</f>
        <v>0</v>
      </c>
      <c r="BS22" s="1">
        <f>VLOOKUP($BL22,$W22:$AE25,8,FALSE)</f>
        <v>0</v>
      </c>
      <c r="BT22" s="1">
        <f>VLOOKUP($BL22,$W22:$AE25,9,FALSE)</f>
        <v>0</v>
      </c>
    </row>
    <row r="23" spans="2:72" ht="13.5" thickBot="1">
      <c r="B23" s="10">
        <v>38504</v>
      </c>
      <c r="C23" s="11">
        <v>0.8541666666666666</v>
      </c>
      <c r="D23" s="28" t="s">
        <v>88</v>
      </c>
      <c r="E23" s="13"/>
      <c r="F23" s="14"/>
      <c r="G23" s="12" t="s">
        <v>90</v>
      </c>
      <c r="H23" s="15" t="s">
        <v>50</v>
      </c>
      <c r="I23" s="16" t="s">
        <v>46</v>
      </c>
      <c r="J23" s="1">
        <f t="shared" si="1"/>
      </c>
      <c r="K23" s="1">
        <f t="shared" si="2"/>
      </c>
      <c r="M23" s="20" t="str">
        <f t="shared" si="4"/>
        <v>Costa Rica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2">
        <f t="shared" si="4"/>
        <v>0</v>
      </c>
      <c r="W23" s="1" t="s">
        <v>82</v>
      </c>
      <c r="X23" s="1">
        <f>COUNT(Turkey_Played)</f>
        <v>0</v>
      </c>
      <c r="Y23" s="1">
        <f>COUNTIF(Groupstage_Winners,"Turkey")</f>
        <v>0</v>
      </c>
      <c r="Z23" s="1">
        <f>COUNTIF(Groupstage_Losers,"Turkey")</f>
        <v>0</v>
      </c>
      <c r="AA23" s="1">
        <f>X23-(Y23+Z23)</f>
        <v>0</v>
      </c>
      <c r="AB23" s="1">
        <f>SUM(Turkey_Played)</f>
        <v>0</v>
      </c>
      <c r="AC23" s="1">
        <f>SUM(Turkey_Against)</f>
        <v>0</v>
      </c>
      <c r="AD23" s="1">
        <f>AB23-AC23</f>
        <v>0</v>
      </c>
      <c r="AE23" s="1">
        <f>Y23*Winpoints+AA23*Drawpoints</f>
        <v>0</v>
      </c>
      <c r="AF23" s="1" t="str">
        <f>IF($AE23&lt;=$AE22,$W23,$W22)</f>
        <v>Turkey</v>
      </c>
      <c r="AG23" s="1">
        <f>VLOOKUP($AF23,$W22:$AE25,9,FALSE)</f>
        <v>0</v>
      </c>
      <c r="AH23" s="1" t="str">
        <f>IF(AG23&gt;=AG25,AF23,AF25)</f>
        <v>Turkey</v>
      </c>
      <c r="AI23" s="1">
        <f>VLOOKUP($AH23,$W22:$AE25,9,FALSE)</f>
        <v>0</v>
      </c>
      <c r="AJ23" s="1" t="str">
        <f>IF($AI23&gt;=$AI24,$AH23,$AH24)</f>
        <v>Turkey</v>
      </c>
      <c r="AK23" s="1">
        <f>VLOOKUP($AJ23,$W22:$AE25,9,FALSE)</f>
        <v>0</v>
      </c>
      <c r="AL23" s="1">
        <f>VLOOKUP($AJ23,$W22:$AE25,8,FALSE)</f>
        <v>0</v>
      </c>
      <c r="AM23" s="1" t="str">
        <f>IF(AND($AK22=$AK23,$AL23&gt;$AL22),$AJ22,$AJ23)</f>
        <v>Turkey</v>
      </c>
      <c r="AN23" s="1">
        <f>VLOOKUP($AM23,$W22:$AE25,9,FALSE)</f>
        <v>0</v>
      </c>
      <c r="AO23" s="1">
        <f>VLOOKUP($AM23,$W22:$AE25,8,FALSE)</f>
        <v>0</v>
      </c>
      <c r="AP23" s="1" t="str">
        <f>IF(AND($AN23=$AN25,$AO25&gt;$AO23),$AM25,$AM23)</f>
        <v>Turkey</v>
      </c>
      <c r="AQ23" s="1">
        <f>VLOOKUP($AP23,$W22:$AE25,9,FALSE)</f>
        <v>0</v>
      </c>
      <c r="AR23" s="1">
        <f>VLOOKUP($AP23,$W22:$AE25,8,FALSE)</f>
        <v>0</v>
      </c>
      <c r="AS23" s="1" t="str">
        <f>IF(AND($AQ23=$AQ24,$AR24&gt;$AR23),$AP24,$AP23)</f>
        <v>Turkey</v>
      </c>
      <c r="AT23" s="1">
        <f>VLOOKUP($AS23,$W22:$AE25,9,FALSE)</f>
        <v>0</v>
      </c>
      <c r="AU23" s="1">
        <f>VLOOKUP($AS23,$W22:$AE25,8,FALSE)</f>
        <v>0</v>
      </c>
      <c r="AV23" s="1">
        <f>VLOOKUP($AS23,$W22:$AE25,6,FALSE)</f>
        <v>0</v>
      </c>
      <c r="AW23" s="1" t="str">
        <f>IF(AND($AT22=$AT23,$AU22=$AU23,$AV23&gt;$AV22),$AS22,$AS23)</f>
        <v>Turkey</v>
      </c>
      <c r="AX23" s="1">
        <f>VLOOKUP($AW23,$W22:$AE25,9,FALSE)</f>
        <v>0</v>
      </c>
      <c r="AY23" s="1">
        <f>VLOOKUP($AW23,$W22:$AE25,8,FALSE)</f>
        <v>0</v>
      </c>
      <c r="AZ23" s="1">
        <f>VLOOKUP($AW23,$W22:$AE25,6,FALSE)</f>
        <v>0</v>
      </c>
      <c r="BA23" s="1" t="str">
        <f>IF(AND($AX23=$AX25,$AY23=$AY25,$AZ25&gt;$AZ23),$AW25,$AW23)</f>
        <v>Turkey</v>
      </c>
      <c r="BB23" s="1">
        <f>VLOOKUP($BA23,$W22:$AE25,9,FALSE)</f>
        <v>0</v>
      </c>
      <c r="BC23" s="1">
        <f>VLOOKUP($BA23,$W22:$AE25,8,FALSE)</f>
        <v>0</v>
      </c>
      <c r="BD23" s="1">
        <f>VLOOKUP($BA23,$W22:$AE25,6,FALSE)</f>
        <v>0</v>
      </c>
      <c r="BE23" s="1" t="str">
        <f>IF(AND($BB23=$BB24,$BC23=$BC24,$BD24&gt;$BD23),$BA24,$BA23)</f>
        <v>Turkey</v>
      </c>
      <c r="BF23" s="1">
        <f>VLOOKUP($BE23,$W22:$AE25,9,FALSE)</f>
        <v>0</v>
      </c>
      <c r="BG23" s="1">
        <f>VLOOKUP($BE23,$W22:$AE25,8,FALSE)</f>
        <v>0</v>
      </c>
      <c r="BH23" s="1">
        <f>VLOOKUP($BE23,$W22:$AE25,6,FALSE)</f>
        <v>0</v>
      </c>
      <c r="BL23" s="1" t="str">
        <f>BE23</f>
        <v>Turkey</v>
      </c>
      <c r="BM23" s="1">
        <f>VLOOKUP($BL23,$W22:$AE25,2,FALSE)</f>
        <v>0</v>
      </c>
      <c r="BN23" s="1">
        <f>VLOOKUP($BL23,$W22:$AE25,3,FALSE)</f>
        <v>0</v>
      </c>
      <c r="BO23" s="1">
        <f>VLOOKUP($BL23,$W22:$AE25,4,FALSE)</f>
        <v>0</v>
      </c>
      <c r="BP23" s="1">
        <f>VLOOKUP($BL23,$W22:$AE25,5,FALSE)</f>
        <v>0</v>
      </c>
      <c r="BQ23" s="1">
        <f>VLOOKUP($BL23,$W22:$AE25,6,FALSE)</f>
        <v>0</v>
      </c>
      <c r="BR23" s="1">
        <f>VLOOKUP($BL23,$W22:$AE25,7,FALSE)</f>
        <v>0</v>
      </c>
      <c r="BS23" s="1">
        <f>VLOOKUP($BL23,$W22:$AE25,8,FALSE)</f>
        <v>0</v>
      </c>
      <c r="BT23" s="1">
        <f>VLOOKUP($BL23,$W22:$AE25,9,FALSE)</f>
        <v>0</v>
      </c>
    </row>
    <row r="24" spans="2:72" ht="13.5" thickBot="1">
      <c r="B24" s="10">
        <v>38869</v>
      </c>
      <c r="C24" s="11">
        <v>0.6458333333333334</v>
      </c>
      <c r="D24" s="28" t="s">
        <v>30</v>
      </c>
      <c r="E24" s="13"/>
      <c r="F24" s="14"/>
      <c r="G24" s="12" t="s">
        <v>75</v>
      </c>
      <c r="H24" s="15" t="s">
        <v>49</v>
      </c>
      <c r="I24" s="16" t="s">
        <v>23</v>
      </c>
      <c r="J24" s="1">
        <f t="shared" si="1"/>
      </c>
      <c r="K24" s="1">
        <f t="shared" si="2"/>
      </c>
      <c r="W24" s="1" t="s">
        <v>83</v>
      </c>
      <c r="X24" s="1">
        <f>COUNT(China_Played)</f>
        <v>0</v>
      </c>
      <c r="Y24" s="1">
        <f>COUNTIF(Groupstage_Winners,"China")</f>
        <v>0</v>
      </c>
      <c r="Z24" s="1">
        <f>COUNTIF(Groupstage_Losers,"China")</f>
        <v>0</v>
      </c>
      <c r="AA24" s="1">
        <f>X24-(Y24+Z24)</f>
        <v>0</v>
      </c>
      <c r="AB24" s="1">
        <f>SUM(China_Played)</f>
        <v>0</v>
      </c>
      <c r="AC24" s="1">
        <f>SUM(China_Against)</f>
        <v>0</v>
      </c>
      <c r="AD24" s="1">
        <f>AB24-AC24</f>
        <v>0</v>
      </c>
      <c r="AE24" s="1">
        <f>Y24*Winpoints+AA24*Drawpoints</f>
        <v>0</v>
      </c>
      <c r="AF24" s="1" t="str">
        <f>IF($AE24&gt;=$AE25,$W24,$W25)</f>
        <v>China</v>
      </c>
      <c r="AG24" s="1">
        <f>VLOOKUP($AF24,$W22:$AE25,9,FALSE)</f>
        <v>0</v>
      </c>
      <c r="AH24" s="1" t="str">
        <f>IF($AG24&lt;=$AG22,$AF24,$AF22)</f>
        <v>China</v>
      </c>
      <c r="AI24" s="1">
        <f>VLOOKUP($AH24,$W22:$AE25,9,FALSE)</f>
        <v>0</v>
      </c>
      <c r="AJ24" s="1" t="str">
        <f>IF($AI24&lt;=$AI23,$AH24,$AH23)</f>
        <v>China</v>
      </c>
      <c r="AK24" s="1">
        <f>VLOOKUP($AJ24,$W22:$AE25,9,FALSE)</f>
        <v>0</v>
      </c>
      <c r="AL24" s="1">
        <f>VLOOKUP($AJ24,$W22:$AE25,8,FALSE)</f>
        <v>0</v>
      </c>
      <c r="AM24" s="1" t="str">
        <f>IF(AND($AK24=$AK25,$AL25&gt;$AL24),$AJ25,$AJ24)</f>
        <v>China</v>
      </c>
      <c r="AN24" s="1">
        <f>VLOOKUP($AM24,$W22:$AE25,9,FALSE)</f>
        <v>0</v>
      </c>
      <c r="AO24" s="1">
        <f>VLOOKUP($AM24,$W22:$AE25,8,FALSE)</f>
        <v>0</v>
      </c>
      <c r="AP24" s="1" t="str">
        <f>IF(AND($AN22=$AN24,$AO24&gt;$AO22),$AM22,$AM24)</f>
        <v>China</v>
      </c>
      <c r="AQ24" s="1">
        <f>VLOOKUP($AP24,$W22:$AE25,9,FALSE)</f>
        <v>0</v>
      </c>
      <c r="AR24" s="1">
        <f>VLOOKUP($AP24,$W22:$AE25,8,FALSE)</f>
        <v>0</v>
      </c>
      <c r="AS24" s="1" t="str">
        <f>IF(AND($AQ23=$AQ24,$AR24&gt;$AR23),$AP23,$AP24)</f>
        <v>China</v>
      </c>
      <c r="AT24" s="1">
        <f>VLOOKUP($AS24,$W22:$AE25,9,FALSE)</f>
        <v>0</v>
      </c>
      <c r="AU24" s="1">
        <f>VLOOKUP($AS24,$W22:$AE25,8,FALSE)</f>
        <v>0</v>
      </c>
      <c r="AV24" s="1">
        <f>VLOOKUP($AS24,$W22:$AE25,6,FALSE)</f>
        <v>0</v>
      </c>
      <c r="AW24" s="1" t="str">
        <f>IF(AND($AT24=$AT25,$AU24=$AU25,$AV25&gt;$AV24),$AS25,$AS24)</f>
        <v>China</v>
      </c>
      <c r="AX24" s="1">
        <f>VLOOKUP($AW24,$W22:$AE25,9,FALSE)</f>
        <v>0</v>
      </c>
      <c r="AY24" s="1">
        <f>VLOOKUP($AW24,$W22:$AE25,8,FALSE)</f>
        <v>0</v>
      </c>
      <c r="AZ24" s="1">
        <f>VLOOKUP($AW24,$W22:$AE25,6,FALSE)</f>
        <v>0</v>
      </c>
      <c r="BA24" s="1" t="str">
        <f>IF(AND($AX22=$AX24,$AY22=$AY24,$AZ23&gt;$AZ22),$AW22,$AW24)</f>
        <v>China</v>
      </c>
      <c r="BB24" s="1">
        <f>VLOOKUP($BA24,$W22:$AE25,9,FALSE)</f>
        <v>0</v>
      </c>
      <c r="BC24" s="1">
        <f>VLOOKUP($BA24,$W22:$AE25,8,FALSE)</f>
        <v>0</v>
      </c>
      <c r="BD24" s="1">
        <f>VLOOKUP($BA24,$W22:$AE25,6,FALSE)</f>
        <v>0</v>
      </c>
      <c r="BE24" s="1" t="str">
        <f>IF(AND($BB23=$BB24,$BC23=$BC24,$BD24&gt;$BD23),$BA23,$BA24)</f>
        <v>China</v>
      </c>
      <c r="BF24" s="1">
        <f>VLOOKUP($BE24,$W22:$AE25,9,FALSE)</f>
        <v>0</v>
      </c>
      <c r="BG24" s="1">
        <f>VLOOKUP($BE24,$W22:$AE25,8,FALSE)</f>
        <v>0</v>
      </c>
      <c r="BH24" s="1">
        <f>VLOOKUP($BE24,$W22:$AE25,6,FALSE)</f>
        <v>0</v>
      </c>
      <c r="BL24" s="1" t="str">
        <f>BE24</f>
        <v>China</v>
      </c>
      <c r="BM24" s="1">
        <f>VLOOKUP($BL24,$W22:$AE25,2,FALSE)</f>
        <v>0</v>
      </c>
      <c r="BN24" s="1">
        <f>VLOOKUP($BL24,$W22:$AE25,3,FALSE)</f>
        <v>0</v>
      </c>
      <c r="BO24" s="1">
        <f>VLOOKUP($BL24,$W22:$AE25,4,FALSE)</f>
        <v>0</v>
      </c>
      <c r="BP24" s="1">
        <f>VLOOKUP($BL24,$W22:$AE25,5,FALSE)</f>
        <v>0</v>
      </c>
      <c r="BQ24" s="1">
        <f>VLOOKUP($BL24,$W22:$AE25,6,FALSE)</f>
        <v>0</v>
      </c>
      <c r="BR24" s="1">
        <f>VLOOKUP($BL24,$W22:$AE25,7,FALSE)</f>
        <v>0</v>
      </c>
      <c r="BS24" s="1">
        <f>VLOOKUP($BL24,$W22:$AE25,8,FALSE)</f>
        <v>0</v>
      </c>
      <c r="BT24" s="1">
        <f>VLOOKUP($BL24,$W22:$AE25,9,FALSE)</f>
        <v>0</v>
      </c>
    </row>
    <row r="25" spans="2:72" ht="15.75" thickBot="1">
      <c r="B25" s="10">
        <v>38869</v>
      </c>
      <c r="C25" s="11">
        <v>0.75</v>
      </c>
      <c r="D25" s="28" t="s">
        <v>91</v>
      </c>
      <c r="E25" s="13"/>
      <c r="F25" s="14"/>
      <c r="G25" s="12" t="s">
        <v>89</v>
      </c>
      <c r="H25" s="15" t="s">
        <v>48</v>
      </c>
      <c r="I25" s="16" t="s">
        <v>46</v>
      </c>
      <c r="J25" s="1">
        <f t="shared" si="1"/>
      </c>
      <c r="K25" s="1">
        <f t="shared" si="2"/>
      </c>
      <c r="M25" s="2" t="s">
        <v>34</v>
      </c>
      <c r="N25" s="3"/>
      <c r="O25" s="3"/>
      <c r="P25" s="3"/>
      <c r="Q25" s="3"/>
      <c r="R25" s="3"/>
      <c r="S25" s="3"/>
      <c r="T25" s="3"/>
      <c r="U25" s="4"/>
      <c r="W25" s="1" t="s">
        <v>84</v>
      </c>
      <c r="X25" s="1">
        <f>COUNT(Costa_Rica_Played)</f>
        <v>0</v>
      </c>
      <c r="Y25" s="1">
        <f>COUNTIF(Groupstage_Winners,"Costa Rica")</f>
        <v>0</v>
      </c>
      <c r="Z25" s="1">
        <f>COUNTIF(Groupstage_Losers,"Costa Rica")</f>
        <v>0</v>
      </c>
      <c r="AA25" s="1">
        <f>X25-(Y25+Z25)</f>
        <v>0</v>
      </c>
      <c r="AB25" s="1">
        <f>SUM(Costa_Rica_Played)</f>
        <v>0</v>
      </c>
      <c r="AC25" s="1">
        <f>SUM(Costa_Rica_Against)</f>
        <v>0</v>
      </c>
      <c r="AD25" s="1">
        <f>AB25-AC25</f>
        <v>0</v>
      </c>
      <c r="AE25" s="1">
        <f>Y25*Winpoints+AA25*Drawpoints</f>
        <v>0</v>
      </c>
      <c r="AF25" s="1" t="str">
        <f>IF($AE25&lt;=$AE24,$W25,$W24)</f>
        <v>Costa Rica</v>
      </c>
      <c r="AG25" s="1">
        <f>VLOOKUP($AF25,$W22:$AE25,9,FALSE)</f>
        <v>0</v>
      </c>
      <c r="AH25" s="1" t="str">
        <f>IF(AG25&lt;=AG23,AF25,AF23)</f>
        <v>Costa Rica</v>
      </c>
      <c r="AI25" s="1">
        <f>VLOOKUP($AH25,$W22:$AE25,9,FALSE)</f>
        <v>0</v>
      </c>
      <c r="AJ25" s="1" t="str">
        <f>IF($AI25&lt;=$AI22,$AH25,$AH22)</f>
        <v>Costa Rica</v>
      </c>
      <c r="AK25" s="1">
        <f>VLOOKUP($AJ25,$W22:$AE25,9,FALSE)</f>
        <v>0</v>
      </c>
      <c r="AL25" s="1">
        <f>VLOOKUP($AJ25,$W22:$AE25,8,FALSE)</f>
        <v>0</v>
      </c>
      <c r="AM25" s="1" t="str">
        <f>IF(AND($AK24=$AK25,$AL25&gt;$AL24),$AJ24,$AJ25)</f>
        <v>Costa Rica</v>
      </c>
      <c r="AN25" s="1">
        <f>VLOOKUP($AM25,$W22:$AE25,9,FALSE)</f>
        <v>0</v>
      </c>
      <c r="AO25" s="1">
        <f>VLOOKUP($AM25,$W22:$AE25,8,FALSE)</f>
        <v>0</v>
      </c>
      <c r="AP25" s="1" t="str">
        <f>IF(AND($AN23=$AN25,$AO25&gt;$AO23),$AM23,$AM25)</f>
        <v>Costa Rica</v>
      </c>
      <c r="AQ25" s="1">
        <f>VLOOKUP($AP25,$W22:$AE25,9,FALSE)</f>
        <v>0</v>
      </c>
      <c r="AR25" s="1">
        <f>VLOOKUP($AP25,$W22:$AE25,8,FALSE)</f>
        <v>0</v>
      </c>
      <c r="AS25" s="1" t="str">
        <f>IF(AND($AQ22=$AQ25,$AR25&gt;$AR22),$AP22,$AP25)</f>
        <v>Costa Rica</v>
      </c>
      <c r="AT25" s="1">
        <f>VLOOKUP($AS25,$W22:$AE25,9,FALSE)</f>
        <v>0</v>
      </c>
      <c r="AU25" s="1">
        <f>VLOOKUP($AS25,$W22:$AE25,8,FALSE)</f>
        <v>0</v>
      </c>
      <c r="AV25" s="1">
        <f>VLOOKUP($AS25,$W22:$AE25,6,FALSE)</f>
        <v>0</v>
      </c>
      <c r="AW25" s="1" t="str">
        <f>IF(AND($AT24=$AT25,$AU24=$AU25,$AV25&gt;$AV24),$AS24,$AS25)</f>
        <v>Costa Rica</v>
      </c>
      <c r="AX25" s="1">
        <f>VLOOKUP($AW25,$W22:$AE25,9,FALSE)</f>
        <v>0</v>
      </c>
      <c r="AY25" s="1">
        <f>VLOOKUP($AW25,$W22:$AE25,8,FALSE)</f>
        <v>0</v>
      </c>
      <c r="AZ25" s="1">
        <f>VLOOKUP($AW25,$W22:$AE25,6,FALSE)</f>
        <v>0</v>
      </c>
      <c r="BA25" s="1" t="str">
        <f>IF(AND($AX23=$AX25,$AY23=$AY25,$AZ25&gt;$AZ23),$AW23,$AW25)</f>
        <v>Costa Rica</v>
      </c>
      <c r="BB25" s="1">
        <f>VLOOKUP($BA25,$W22:$AE25,9,FALSE)</f>
        <v>0</v>
      </c>
      <c r="BC25" s="1">
        <f>VLOOKUP($BA25,$W22:$AE25,8,FALSE)</f>
        <v>0</v>
      </c>
      <c r="BD25" s="1">
        <f>VLOOKUP($BA25,$W22:$AE25,6,FALSE)</f>
        <v>0</v>
      </c>
      <c r="BE25" s="1" t="str">
        <f>IF(AND($BB22=$BB25,$BC22=$BC25,$BD25&gt;$BD22),$BA22,$BA25)</f>
        <v>Costa Rica</v>
      </c>
      <c r="BF25" s="1">
        <f>VLOOKUP($BE25,$W22:$AE25,9,FALSE)</f>
        <v>0</v>
      </c>
      <c r="BG25" s="1">
        <f>VLOOKUP($BE25,$W22:$AE25,8,FALSE)</f>
        <v>0</v>
      </c>
      <c r="BH25" s="1">
        <f>VLOOKUP($BE25,$W22:$AE25,6,FALSE)</f>
        <v>0</v>
      </c>
      <c r="BL25" s="1" t="str">
        <f>BE25</f>
        <v>Costa Rica</v>
      </c>
      <c r="BM25" s="1">
        <f>VLOOKUP($BL25,$W22:$AE25,2,FALSE)</f>
        <v>0</v>
      </c>
      <c r="BN25" s="1">
        <f>VLOOKUP($BL25,$W22:$AE25,3,FALSE)</f>
        <v>0</v>
      </c>
      <c r="BO25" s="1">
        <f>VLOOKUP($BL25,$W22:$AE25,4,FALSE)</f>
        <v>0</v>
      </c>
      <c r="BP25" s="1">
        <f>VLOOKUP($BL25,$W22:$AE25,5,FALSE)</f>
        <v>0</v>
      </c>
      <c r="BQ25" s="1">
        <f>VLOOKUP($BL25,$W22:$AE25,6,FALSE)</f>
        <v>0</v>
      </c>
      <c r="BR25" s="1">
        <f>VLOOKUP($BL25,$W22:$AE25,7,FALSE)</f>
        <v>0</v>
      </c>
      <c r="BS25" s="1">
        <f>VLOOKUP($BL25,$W22:$AE25,8,FALSE)</f>
        <v>0</v>
      </c>
      <c r="BT25" s="1">
        <f>VLOOKUP($BL25,$W22:$AE25,9,FALSE)</f>
        <v>0</v>
      </c>
    </row>
    <row r="26" spans="2:21" ht="13.5" thickBot="1">
      <c r="B26" s="10">
        <v>38869</v>
      </c>
      <c r="C26" s="11">
        <v>0.8541666666666666</v>
      </c>
      <c r="D26" s="28" t="s">
        <v>76</v>
      </c>
      <c r="E26" s="13"/>
      <c r="F26" s="14"/>
      <c r="G26" s="12" t="s">
        <v>74</v>
      </c>
      <c r="H26" s="15" t="s">
        <v>58</v>
      </c>
      <c r="I26" s="16" t="s">
        <v>23</v>
      </c>
      <c r="J26" s="1">
        <f t="shared" si="1"/>
      </c>
      <c r="K26" s="1">
        <f t="shared" si="2"/>
      </c>
      <c r="M26" s="7"/>
      <c r="N26" s="8" t="s">
        <v>18</v>
      </c>
      <c r="O26" s="8" t="s">
        <v>19</v>
      </c>
      <c r="P26" s="8" t="s">
        <v>20</v>
      </c>
      <c r="Q26" s="8" t="s">
        <v>21</v>
      </c>
      <c r="R26" s="8" t="s">
        <v>22</v>
      </c>
      <c r="S26" s="8" t="s">
        <v>23</v>
      </c>
      <c r="T26" s="8" t="s">
        <v>24</v>
      </c>
      <c r="U26" s="9" t="s">
        <v>25</v>
      </c>
    </row>
    <row r="27" spans="2:23" ht="13.5" thickBot="1">
      <c r="B27" s="10">
        <v>39234</v>
      </c>
      <c r="C27" s="11">
        <v>0.6458333333333334</v>
      </c>
      <c r="D27" s="28" t="s">
        <v>95</v>
      </c>
      <c r="E27" s="13"/>
      <c r="F27" s="14"/>
      <c r="G27" s="12" t="s">
        <v>93</v>
      </c>
      <c r="H27" s="15" t="s">
        <v>56</v>
      </c>
      <c r="I27" s="16" t="s">
        <v>22</v>
      </c>
      <c r="J27" s="1">
        <f t="shared" si="1"/>
      </c>
      <c r="K27" s="1">
        <f t="shared" si="2"/>
      </c>
      <c r="M27" s="17" t="str">
        <f aca="true" t="shared" si="5" ref="M27:U30">BL29</f>
        <v>South Korea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Q27" s="18">
        <f t="shared" si="5"/>
        <v>0</v>
      </c>
      <c r="R27" s="18">
        <f t="shared" si="5"/>
        <v>0</v>
      </c>
      <c r="S27" s="18">
        <f t="shared" si="5"/>
        <v>0</v>
      </c>
      <c r="T27" s="18">
        <f t="shared" si="5"/>
        <v>0</v>
      </c>
      <c r="U27" s="19">
        <f t="shared" si="5"/>
        <v>0</v>
      </c>
      <c r="W27" s="1" t="s">
        <v>34</v>
      </c>
    </row>
    <row r="28" spans="2:31" ht="13.5" thickBot="1">
      <c r="B28" s="10">
        <v>39234</v>
      </c>
      <c r="C28" s="11">
        <v>0.75</v>
      </c>
      <c r="D28" s="28" t="s">
        <v>77</v>
      </c>
      <c r="E28" s="13"/>
      <c r="F28" s="14"/>
      <c r="G28" s="12" t="s">
        <v>79</v>
      </c>
      <c r="H28" s="15" t="s">
        <v>59</v>
      </c>
      <c r="I28" s="16" t="s">
        <v>26</v>
      </c>
      <c r="J28" s="1">
        <f t="shared" si="1"/>
      </c>
      <c r="K28" s="1">
        <f t="shared" si="2"/>
      </c>
      <c r="M28" s="17" t="str">
        <f t="shared" si="5"/>
        <v>Poland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Q28" s="18">
        <f t="shared" si="5"/>
        <v>0</v>
      </c>
      <c r="R28" s="18">
        <f t="shared" si="5"/>
        <v>0</v>
      </c>
      <c r="S28" s="18">
        <f t="shared" si="5"/>
        <v>0</v>
      </c>
      <c r="T28" s="18">
        <f t="shared" si="5"/>
        <v>0</v>
      </c>
      <c r="U28" s="19">
        <f t="shared" si="5"/>
        <v>0</v>
      </c>
      <c r="X28" s="1" t="s">
        <v>27</v>
      </c>
      <c r="Y28" s="1" t="s">
        <v>19</v>
      </c>
      <c r="Z28" s="1" t="s">
        <v>20</v>
      </c>
      <c r="AA28" s="1" t="s">
        <v>21</v>
      </c>
      <c r="AB28" s="1" t="s">
        <v>22</v>
      </c>
      <c r="AC28" s="1" t="s">
        <v>23</v>
      </c>
      <c r="AD28" s="1" t="s">
        <v>24</v>
      </c>
      <c r="AE28" s="1" t="s">
        <v>28</v>
      </c>
    </row>
    <row r="29" spans="2:72" ht="13.5" thickBot="1">
      <c r="B29" s="10">
        <v>39234</v>
      </c>
      <c r="C29" s="11">
        <v>0.8541666666666666</v>
      </c>
      <c r="D29" s="28" t="s">
        <v>92</v>
      </c>
      <c r="E29" s="13"/>
      <c r="F29" s="14"/>
      <c r="G29" s="12" t="s">
        <v>94</v>
      </c>
      <c r="H29" s="15" t="s">
        <v>47</v>
      </c>
      <c r="I29" s="16" t="s">
        <v>22</v>
      </c>
      <c r="J29" s="1">
        <f t="shared" si="1"/>
      </c>
      <c r="K29" s="1">
        <f t="shared" si="2"/>
      </c>
      <c r="M29" s="17" t="str">
        <f t="shared" si="5"/>
        <v>USA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Q29" s="18">
        <f t="shared" si="5"/>
        <v>0</v>
      </c>
      <c r="R29" s="18">
        <f t="shared" si="5"/>
        <v>0</v>
      </c>
      <c r="S29" s="18">
        <f t="shared" si="5"/>
        <v>0</v>
      </c>
      <c r="T29" s="18">
        <f t="shared" si="5"/>
        <v>0</v>
      </c>
      <c r="U29" s="19">
        <f t="shared" si="5"/>
        <v>0</v>
      </c>
      <c r="W29" s="1" t="s">
        <v>52</v>
      </c>
      <c r="X29" s="1">
        <f>COUNT(South_Korea_Played)</f>
        <v>0</v>
      </c>
      <c r="Y29" s="1">
        <f>COUNTIF(Groupstage_Winners,"South Korea")</f>
        <v>0</v>
      </c>
      <c r="Z29" s="1">
        <f>COUNTIF(Groupstage_Losers,"South Korea")</f>
        <v>0</v>
      </c>
      <c r="AA29" s="1">
        <f>X29-(Y29+Z29)</f>
        <v>0</v>
      </c>
      <c r="AB29" s="1">
        <f>SUM(South_Korea_Played)</f>
        <v>0</v>
      </c>
      <c r="AC29" s="1">
        <f>SUM(South_Korea_Against)</f>
        <v>0</v>
      </c>
      <c r="AD29" s="1">
        <f>AB29-AC29</f>
        <v>0</v>
      </c>
      <c r="AE29" s="1">
        <f>Y29*Winpoints+AA29*Drawpoints</f>
        <v>0</v>
      </c>
      <c r="AF29" s="1" t="str">
        <f>IF($AE29&gt;=$AE30,$W29,$W30)</f>
        <v>South Korea</v>
      </c>
      <c r="AG29" s="1">
        <f>VLOOKUP($AF29,$W29:$AE32,9,FALSE)</f>
        <v>0</v>
      </c>
      <c r="AH29" s="1" t="str">
        <f>IF($AG29&gt;=$AG31,$AF29,$AF31)</f>
        <v>South Korea</v>
      </c>
      <c r="AI29" s="1">
        <f>VLOOKUP($AH29,$W29:$AE32,9,FALSE)</f>
        <v>0</v>
      </c>
      <c r="AJ29" s="1" t="str">
        <f>IF($AI29&gt;=$AI32,$AH29,$AH32)</f>
        <v>South Korea</v>
      </c>
      <c r="AK29" s="1">
        <f>VLOOKUP($AJ29,$W29:$AE32,9,FALSE)</f>
        <v>0</v>
      </c>
      <c r="AL29" s="1">
        <f>VLOOKUP($AJ29,$W29:$AE32,8,FALSE)</f>
        <v>0</v>
      </c>
      <c r="AM29" s="1" t="str">
        <f>IF(AND($AK29=$AK30,$AL30&gt;$AL29),$AJ30,$AJ29)</f>
        <v>South Korea</v>
      </c>
      <c r="AN29" s="1">
        <f>VLOOKUP($AM29,$W29:$AE32,9,FALSE)</f>
        <v>0</v>
      </c>
      <c r="AO29" s="1">
        <f>VLOOKUP($AM29,$W29:$AE32,8,FALSE)</f>
        <v>0</v>
      </c>
      <c r="AP29" s="1" t="str">
        <f>IF(AND($AN29=$AN31,$AO31&gt;$AO29),$AM31,$AM29)</f>
        <v>South Korea</v>
      </c>
      <c r="AQ29" s="1">
        <f>VLOOKUP($AP29,$W29:$AE32,9,FALSE)</f>
        <v>0</v>
      </c>
      <c r="AR29" s="1">
        <f>VLOOKUP($AP29,$W29:$AE32,8,FALSE)</f>
        <v>0</v>
      </c>
      <c r="AS29" s="1" t="str">
        <f>IF(AND($AQ29=$AQ32,$AR32&gt;$AR29),$AP32,$AP29)</f>
        <v>South Korea</v>
      </c>
      <c r="AT29" s="1">
        <f>VLOOKUP($AS29,$W29:$AE32,9,FALSE)</f>
        <v>0</v>
      </c>
      <c r="AU29" s="1">
        <f>VLOOKUP($AS29,$W29:$AE32,8,FALSE)</f>
        <v>0</v>
      </c>
      <c r="AV29" s="1">
        <f>VLOOKUP($AS29,$W29:$AE32,6,FALSE)</f>
        <v>0</v>
      </c>
      <c r="AW29" s="1" t="str">
        <f>IF(AND($AT29=$AT30,$AU29=$AU30,$AV30&gt;$AV29),$AS30,$AS29)</f>
        <v>South Korea</v>
      </c>
      <c r="AX29" s="1">
        <f>VLOOKUP($AW29,$W29:$AE32,9,FALSE)</f>
        <v>0</v>
      </c>
      <c r="AY29" s="1">
        <f>VLOOKUP($AW29,$W29:$AE32,8,FALSE)</f>
        <v>0</v>
      </c>
      <c r="AZ29" s="1">
        <f>VLOOKUP($AW29,$W29:$AE32,6,FALSE)</f>
        <v>0</v>
      </c>
      <c r="BA29" s="1" t="str">
        <f>IF(AND($AX29=$AX31,$AY29=$AY31,$AZ31&gt;$AZ29),$AW31,$AW29)</f>
        <v>South Korea</v>
      </c>
      <c r="BB29" s="1">
        <f>VLOOKUP($BA29,$W29:$AE32,9,FALSE)</f>
        <v>0</v>
      </c>
      <c r="BC29" s="1">
        <f>VLOOKUP($BA29,$W29:$AE32,8,FALSE)</f>
        <v>0</v>
      </c>
      <c r="BD29" s="1">
        <f>VLOOKUP($BA29,$W29:$AE32,6,FALSE)</f>
        <v>0</v>
      </c>
      <c r="BE29" s="1" t="str">
        <f>IF(AND($BB29=$BB32,$BC29=$BC32,$BD32&gt;$BD29),$BA32,$BA29)</f>
        <v>South Korea</v>
      </c>
      <c r="BF29" s="1">
        <f>VLOOKUP($BE29,$W29:$AE32,9,FALSE)</f>
        <v>0</v>
      </c>
      <c r="BG29" s="1">
        <f>VLOOKUP($BE29,$W29:$AE32,8,FALSE)</f>
        <v>0</v>
      </c>
      <c r="BH29" s="1">
        <f>VLOOKUP($BE29,$W29:$AE32,6,FALSE)</f>
        <v>0</v>
      </c>
      <c r="BL29" s="1" t="str">
        <f>BE29</f>
        <v>South Korea</v>
      </c>
      <c r="BM29" s="1">
        <f>VLOOKUP($BL29,$W29:$AE32,2,FALSE)</f>
        <v>0</v>
      </c>
      <c r="BN29" s="1">
        <f>VLOOKUP($BL29,$W29:$AE32,3,FALSE)</f>
        <v>0</v>
      </c>
      <c r="BO29" s="1">
        <f>VLOOKUP($BL29,$W29:$AE32,4,FALSE)</f>
        <v>0</v>
      </c>
      <c r="BP29" s="1">
        <f>VLOOKUP($BL29,$W29:$AE32,5,FALSE)</f>
        <v>0</v>
      </c>
      <c r="BQ29" s="1">
        <f>VLOOKUP($BL29,$W29:$AE32,6,FALSE)</f>
        <v>0</v>
      </c>
      <c r="BR29" s="1">
        <f>VLOOKUP($BL29,$W29:$AE32,7,FALSE)</f>
        <v>0</v>
      </c>
      <c r="BS29" s="1">
        <f>VLOOKUP($BL29,$W29:$AE32,8,FALSE)</f>
        <v>0</v>
      </c>
      <c r="BT29" s="1">
        <f>VLOOKUP($BL29,$W29:$AE32,9,FALSE)</f>
        <v>0</v>
      </c>
    </row>
    <row r="30" spans="2:72" ht="13.5" thickBot="1">
      <c r="B30" s="10">
        <v>39600</v>
      </c>
      <c r="C30" s="11">
        <v>0.6458333333333334</v>
      </c>
      <c r="D30" s="28" t="s">
        <v>80</v>
      </c>
      <c r="E30" s="13"/>
      <c r="F30" s="14"/>
      <c r="G30" s="12" t="s">
        <v>78</v>
      </c>
      <c r="H30" s="15" t="s">
        <v>58</v>
      </c>
      <c r="I30" s="16" t="s">
        <v>26</v>
      </c>
      <c r="J30" s="1">
        <f t="shared" si="1"/>
      </c>
      <c r="K30" s="1">
        <f t="shared" si="2"/>
      </c>
      <c r="M30" s="20" t="str">
        <f t="shared" si="5"/>
        <v>Portugal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2">
        <f t="shared" si="5"/>
        <v>0</v>
      </c>
      <c r="W30" s="1" t="s">
        <v>85</v>
      </c>
      <c r="X30" s="1">
        <f>COUNT(Poland_Played)</f>
        <v>0</v>
      </c>
      <c r="Y30" s="1">
        <f>COUNTIF(Groupstage_Winners,"Poland")</f>
        <v>0</v>
      </c>
      <c r="Z30" s="1">
        <f>COUNTIF(Groupstage_Losers,"Poland")</f>
        <v>0</v>
      </c>
      <c r="AA30" s="1">
        <f>X30-(Y30+Z30)</f>
        <v>0</v>
      </c>
      <c r="AB30" s="1">
        <f>SUM(Poland_Played)</f>
        <v>0</v>
      </c>
      <c r="AC30" s="1">
        <f>SUM(Poland_Against)</f>
        <v>0</v>
      </c>
      <c r="AD30" s="1">
        <f>AB30-AC30</f>
        <v>0</v>
      </c>
      <c r="AE30" s="1">
        <f>Y30*Winpoints+AA30*Drawpoints</f>
        <v>0</v>
      </c>
      <c r="AF30" s="1" t="str">
        <f>IF($AE30&lt;=$AE29,$W30,$W29)</f>
        <v>Poland</v>
      </c>
      <c r="AG30" s="1">
        <f>VLOOKUP($AF30,$W29:$AE32,9,FALSE)</f>
        <v>0</v>
      </c>
      <c r="AH30" s="1" t="str">
        <f>IF(AG30&gt;=AG32,AF30,AF32)</f>
        <v>Poland</v>
      </c>
      <c r="AI30" s="1">
        <f>VLOOKUP($AH30,$W29:$AE32,9,FALSE)</f>
        <v>0</v>
      </c>
      <c r="AJ30" s="1" t="str">
        <f>IF($AI30&gt;=$AI31,$AH30,$AH31)</f>
        <v>Poland</v>
      </c>
      <c r="AK30" s="1">
        <f>VLOOKUP($AJ30,$W29:$AE32,9,FALSE)</f>
        <v>0</v>
      </c>
      <c r="AL30" s="1">
        <f>VLOOKUP($AJ30,$W29:$AE32,8,FALSE)</f>
        <v>0</v>
      </c>
      <c r="AM30" s="1" t="str">
        <f>IF(AND($AK29=$AK30,$AL30&gt;$AL29),$AJ29,$AJ30)</f>
        <v>Poland</v>
      </c>
      <c r="AN30" s="1">
        <f>VLOOKUP($AM30,$W29:$AE32,9,FALSE)</f>
        <v>0</v>
      </c>
      <c r="AO30" s="1">
        <f>VLOOKUP($AM30,$W29:$AE32,8,FALSE)</f>
        <v>0</v>
      </c>
      <c r="AP30" s="1" t="str">
        <f>IF(AND($AN30=$AN32,$AO32&gt;$AO30),$AM32,$AM30)</f>
        <v>Poland</v>
      </c>
      <c r="AQ30" s="1">
        <f>VLOOKUP($AP30,$W29:$AE32,9,FALSE)</f>
        <v>0</v>
      </c>
      <c r="AR30" s="1">
        <f>VLOOKUP($AP30,$W29:$AE32,8,FALSE)</f>
        <v>0</v>
      </c>
      <c r="AS30" s="1" t="str">
        <f>IF(AND($AQ30=$AQ31,$AR31&gt;$AR30),$AP31,$AP30)</f>
        <v>Poland</v>
      </c>
      <c r="AT30" s="1">
        <f>VLOOKUP($AS30,$W29:$AE32,9,FALSE)</f>
        <v>0</v>
      </c>
      <c r="AU30" s="1">
        <f>VLOOKUP($AS30,$W29:$AE32,8,FALSE)</f>
        <v>0</v>
      </c>
      <c r="AV30" s="1">
        <f>VLOOKUP($AS30,$W29:$AE32,6,FALSE)</f>
        <v>0</v>
      </c>
      <c r="AW30" s="1" t="str">
        <f>IF(AND($AT29=$AT30,$AU29=$AU30,$AV30&gt;$AV29),$AS29,$AS30)</f>
        <v>Poland</v>
      </c>
      <c r="AX30" s="1">
        <f>VLOOKUP($AW30,$W29:$AE32,9,FALSE)</f>
        <v>0</v>
      </c>
      <c r="AY30" s="1">
        <f>VLOOKUP($AW30,$W29:$AE32,8,FALSE)</f>
        <v>0</v>
      </c>
      <c r="AZ30" s="1">
        <f>VLOOKUP($AW30,$W29:$AE32,6,FALSE)</f>
        <v>0</v>
      </c>
      <c r="BA30" s="1" t="str">
        <f>IF(AND($AX30=$AX32,$AY30=$AY32,$AZ32&gt;$AZ30),$AW32,$AW30)</f>
        <v>Poland</v>
      </c>
      <c r="BB30" s="1">
        <f>VLOOKUP($BA30,$W29:$AE32,9,FALSE)</f>
        <v>0</v>
      </c>
      <c r="BC30" s="1">
        <f>VLOOKUP($BA30,$W29:$AE32,8,FALSE)</f>
        <v>0</v>
      </c>
      <c r="BD30" s="1">
        <f>VLOOKUP($BA30,$W29:$AE32,6,FALSE)</f>
        <v>0</v>
      </c>
      <c r="BE30" s="1" t="str">
        <f>IF(AND($BB30=$BB31,$BC30=$BC31,$BD31&gt;$BD30),$BA31,$BA30)</f>
        <v>Poland</v>
      </c>
      <c r="BF30" s="1">
        <f>VLOOKUP($BE30,$W29:$AE32,9,FALSE)</f>
        <v>0</v>
      </c>
      <c r="BG30" s="1">
        <f>VLOOKUP($BE30,$W29:$AE32,8,FALSE)</f>
        <v>0</v>
      </c>
      <c r="BH30" s="1">
        <f>VLOOKUP($BE30,$W29:$AE32,6,FALSE)</f>
        <v>0</v>
      </c>
      <c r="BL30" s="1" t="str">
        <f>BE30</f>
        <v>Poland</v>
      </c>
      <c r="BM30" s="1">
        <f>VLOOKUP($BL30,$W29:$AE32,2,FALSE)</f>
        <v>0</v>
      </c>
      <c r="BN30" s="1">
        <f>VLOOKUP($BL30,$W29:$AE32,3,FALSE)</f>
        <v>0</v>
      </c>
      <c r="BO30" s="1">
        <f>VLOOKUP($BL30,$W29:$AE32,4,FALSE)</f>
        <v>0</v>
      </c>
      <c r="BP30" s="1">
        <f>VLOOKUP($BL30,$W29:$AE32,5,FALSE)</f>
        <v>0</v>
      </c>
      <c r="BQ30" s="1">
        <f>VLOOKUP($BL30,$W29:$AE32,6,FALSE)</f>
        <v>0</v>
      </c>
      <c r="BR30" s="1">
        <f>VLOOKUP($BL30,$W29:$AE32,7,FALSE)</f>
        <v>0</v>
      </c>
      <c r="BS30" s="1">
        <f>VLOOKUP($BL30,$W29:$AE32,8,FALSE)</f>
        <v>0</v>
      </c>
      <c r="BT30" s="1">
        <f>VLOOKUP($BL30,$W29:$AE32,9,FALSE)</f>
        <v>0</v>
      </c>
    </row>
    <row r="31" spans="2:72" ht="13.5" thickBot="1">
      <c r="B31" s="10">
        <v>39600</v>
      </c>
      <c r="C31" s="11">
        <v>0.75</v>
      </c>
      <c r="D31" s="28" t="s">
        <v>96</v>
      </c>
      <c r="E31" s="13"/>
      <c r="F31" s="14"/>
      <c r="G31" s="12" t="s">
        <v>98</v>
      </c>
      <c r="H31" s="15" t="s">
        <v>50</v>
      </c>
      <c r="I31" s="16" t="s">
        <v>53</v>
      </c>
      <c r="J31" s="1">
        <f>IF(E31&lt;&gt;"",IF(E31&gt;F31,D31,IF(F31&gt;E31,G31,"Draw")),"")</f>
      </c>
      <c r="K31" s="1">
        <f>IF(E31&lt;&gt;"",IF(E31&lt;F31,D31,IF(F31&lt;E31,G31,"Draw")),"")</f>
      </c>
      <c r="W31" s="1" t="s">
        <v>86</v>
      </c>
      <c r="X31" s="1">
        <f>COUNT(USA_Played)</f>
        <v>0</v>
      </c>
      <c r="Y31" s="1">
        <f>COUNTIF(Groupstage_Winners,"USA")</f>
        <v>0</v>
      </c>
      <c r="Z31" s="1">
        <f>COUNTIF(Groupstage_Losers,"USA")</f>
        <v>0</v>
      </c>
      <c r="AA31" s="1">
        <f>X31-(Y31+Z31)</f>
        <v>0</v>
      </c>
      <c r="AB31" s="1">
        <f>SUM(USA_Played)</f>
        <v>0</v>
      </c>
      <c r="AC31" s="1">
        <f>SUM(USA_Against)</f>
        <v>0</v>
      </c>
      <c r="AD31" s="1">
        <f>AB31-AC31</f>
        <v>0</v>
      </c>
      <c r="AE31" s="1">
        <f>Y31*Winpoints+AA31*Drawpoints</f>
        <v>0</v>
      </c>
      <c r="AF31" s="1" t="str">
        <f>IF($AE31&gt;=$AE32,$W31,$W32)</f>
        <v>USA</v>
      </c>
      <c r="AG31" s="1">
        <f>VLOOKUP($AF31,$W29:$AE32,9,FALSE)</f>
        <v>0</v>
      </c>
      <c r="AH31" s="1" t="str">
        <f>IF($AG31&lt;=$AG29,$AF31,$AF29)</f>
        <v>USA</v>
      </c>
      <c r="AI31" s="1">
        <f>VLOOKUP($AH31,$W29:$AE32,9,FALSE)</f>
        <v>0</v>
      </c>
      <c r="AJ31" s="1" t="str">
        <f>IF($AI31&lt;=$AI30,$AH31,$AH30)</f>
        <v>USA</v>
      </c>
      <c r="AK31" s="1">
        <f>VLOOKUP($AJ31,$W29:$AE32,9,FALSE)</f>
        <v>0</v>
      </c>
      <c r="AL31" s="1">
        <f>VLOOKUP($AJ31,$W29:$AE32,8,FALSE)</f>
        <v>0</v>
      </c>
      <c r="AM31" s="1" t="str">
        <f>IF(AND($AK31=$AK32,$AL32&gt;$AL31),$AJ32,$AJ31)</f>
        <v>USA</v>
      </c>
      <c r="AN31" s="1">
        <f>VLOOKUP($AM31,$W29:$AE32,9,FALSE)</f>
        <v>0</v>
      </c>
      <c r="AO31" s="1">
        <f>VLOOKUP($AM31,$W29:$AE32,8,FALSE)</f>
        <v>0</v>
      </c>
      <c r="AP31" s="1" t="str">
        <f>IF(AND($AN29=$AN31,$AO31&gt;$AO29),$AM29,$AM31)</f>
        <v>USA</v>
      </c>
      <c r="AQ31" s="1">
        <f>VLOOKUP($AP31,$W29:$AE32,9,FALSE)</f>
        <v>0</v>
      </c>
      <c r="AR31" s="1">
        <f>VLOOKUP($AP31,$W29:$AE32,8,FALSE)</f>
        <v>0</v>
      </c>
      <c r="AS31" s="1" t="str">
        <f>IF(AND($AQ30=$AQ31,$AR31&gt;$AR30),$AP30,$AP31)</f>
        <v>USA</v>
      </c>
      <c r="AT31" s="1">
        <f>VLOOKUP($AS31,$W29:$AE32,9,FALSE)</f>
        <v>0</v>
      </c>
      <c r="AU31" s="1">
        <f>VLOOKUP($AS31,$W29:$AE32,8,FALSE)</f>
        <v>0</v>
      </c>
      <c r="AV31" s="1">
        <f>VLOOKUP($AS31,$W29:$AE32,6,FALSE)</f>
        <v>0</v>
      </c>
      <c r="AW31" s="1" t="str">
        <f>IF(AND($AT31=$AT32,$AU31=$AU32,$AV32&gt;$AV31),$AS32,$AS31)</f>
        <v>USA</v>
      </c>
      <c r="AX31" s="1">
        <f>VLOOKUP($AW31,$W29:$AE32,9,FALSE)</f>
        <v>0</v>
      </c>
      <c r="AY31" s="1">
        <f>VLOOKUP($AW31,$W29:$AE32,8,FALSE)</f>
        <v>0</v>
      </c>
      <c r="AZ31" s="1">
        <f>VLOOKUP($AW31,$W29:$AE32,6,FALSE)</f>
        <v>0</v>
      </c>
      <c r="BA31" s="1" t="str">
        <f>IF(AND($AX29=$AX31,$AY29=$AY31,$AZ30&gt;$AZ29),$AW29,$AW31)</f>
        <v>USA</v>
      </c>
      <c r="BB31" s="1">
        <f>VLOOKUP($BA31,$W29:$AE32,9,FALSE)</f>
        <v>0</v>
      </c>
      <c r="BC31" s="1">
        <f>VLOOKUP($BA31,$W29:$AE32,8,FALSE)</f>
        <v>0</v>
      </c>
      <c r="BD31" s="1">
        <f>VLOOKUP($BA31,$W29:$AE32,6,FALSE)</f>
        <v>0</v>
      </c>
      <c r="BE31" s="1" t="str">
        <f>IF(AND($BB30=$BB31,$BC30=$BC31,$BD31&gt;$BD30),$BA30,$BA31)</f>
        <v>USA</v>
      </c>
      <c r="BF31" s="1">
        <f>VLOOKUP($BE31,$W29:$AE32,9,FALSE)</f>
        <v>0</v>
      </c>
      <c r="BG31" s="1">
        <f>VLOOKUP($BE31,$W29:$AE32,8,FALSE)</f>
        <v>0</v>
      </c>
      <c r="BH31" s="1">
        <f>VLOOKUP($BE31,$W29:$AE32,6,FALSE)</f>
        <v>0</v>
      </c>
      <c r="BL31" s="1" t="str">
        <f>BE31</f>
        <v>USA</v>
      </c>
      <c r="BM31" s="1">
        <f>VLOOKUP($BL31,$W29:$AE32,2,FALSE)</f>
        <v>0</v>
      </c>
      <c r="BN31" s="1">
        <f>VLOOKUP($BL31,$W29:$AE32,3,FALSE)</f>
        <v>0</v>
      </c>
      <c r="BO31" s="1">
        <f>VLOOKUP($BL31,$W29:$AE32,4,FALSE)</f>
        <v>0</v>
      </c>
      <c r="BP31" s="1">
        <f>VLOOKUP($BL31,$W29:$AE32,5,FALSE)</f>
        <v>0</v>
      </c>
      <c r="BQ31" s="1">
        <f>VLOOKUP($BL31,$W29:$AE32,6,FALSE)</f>
        <v>0</v>
      </c>
      <c r="BR31" s="1">
        <f>VLOOKUP($BL31,$W29:$AE32,7,FALSE)</f>
        <v>0</v>
      </c>
      <c r="BS31" s="1">
        <f>VLOOKUP($BL31,$W29:$AE32,8,FALSE)</f>
        <v>0</v>
      </c>
      <c r="BT31" s="1">
        <f>VLOOKUP($BL31,$W29:$AE32,9,FALSE)</f>
        <v>0</v>
      </c>
    </row>
    <row r="32" spans="2:72" ht="13.5" thickBot="1">
      <c r="B32" s="10">
        <v>39600</v>
      </c>
      <c r="C32" s="11">
        <v>0.8541666666666666</v>
      </c>
      <c r="D32" s="28" t="s">
        <v>81</v>
      </c>
      <c r="E32" s="13"/>
      <c r="F32" s="14"/>
      <c r="G32" s="12" t="s">
        <v>83</v>
      </c>
      <c r="H32" s="15" t="s">
        <v>60</v>
      </c>
      <c r="I32" s="16" t="s">
        <v>32</v>
      </c>
      <c r="J32" s="1">
        <f>IF(E32&lt;&gt;"",IF(E32&gt;F32,D32,IF(F32&gt;E32,G32,"Draw")),"")</f>
      </c>
      <c r="K32" s="1">
        <f>IF(E32&lt;&gt;"",IF(E32&lt;F32,D32,IF(F32&lt;E32,G32,"Draw")),"")</f>
      </c>
      <c r="W32" s="1" t="s">
        <v>87</v>
      </c>
      <c r="X32" s="1">
        <f>COUNT(Portugal_Played)</f>
        <v>0</v>
      </c>
      <c r="Y32" s="1">
        <f>COUNTIF(Groupstage_Winners,"Portugal")</f>
        <v>0</v>
      </c>
      <c r="Z32" s="1">
        <f>COUNTIF(Groupstage_Losers,"Portugal")</f>
        <v>0</v>
      </c>
      <c r="AA32" s="1">
        <f>X32-(Y32+Z32)</f>
        <v>0</v>
      </c>
      <c r="AB32" s="1">
        <f>SUM(Portugal_Played)</f>
        <v>0</v>
      </c>
      <c r="AC32" s="1">
        <f>SUM(Portugal_Against)</f>
        <v>0</v>
      </c>
      <c r="AD32" s="1">
        <f>AB32-AC32</f>
        <v>0</v>
      </c>
      <c r="AE32" s="1">
        <f>Y32*Winpoints+AA32*Drawpoints</f>
        <v>0</v>
      </c>
      <c r="AF32" s="1" t="str">
        <f>IF($AE32&lt;=$AE31,$W32,$W31)</f>
        <v>Portugal</v>
      </c>
      <c r="AG32" s="1">
        <f>VLOOKUP($AF32,$W29:$AE32,9,FALSE)</f>
        <v>0</v>
      </c>
      <c r="AH32" s="1" t="str">
        <f>IF(AG32&lt;=AG30,AF32,AF30)</f>
        <v>Portugal</v>
      </c>
      <c r="AI32" s="1">
        <f>VLOOKUP($AH32,$W29:$AE32,9,FALSE)</f>
        <v>0</v>
      </c>
      <c r="AJ32" s="1" t="str">
        <f>IF($AI32&lt;=$AI29,$AH32,$AH29)</f>
        <v>Portugal</v>
      </c>
      <c r="AK32" s="1">
        <f>VLOOKUP($AJ32,$W29:$AE32,9,FALSE)</f>
        <v>0</v>
      </c>
      <c r="AL32" s="1">
        <f>VLOOKUP($AJ32,$W29:$AE32,8,FALSE)</f>
        <v>0</v>
      </c>
      <c r="AM32" s="1" t="str">
        <f>IF(AND($AK31=$AK32,$AL32&gt;$AL31),$AJ31,$AJ32)</f>
        <v>Portugal</v>
      </c>
      <c r="AN32" s="1">
        <f>VLOOKUP($AM32,$W29:$AE32,9,FALSE)</f>
        <v>0</v>
      </c>
      <c r="AO32" s="1">
        <f>VLOOKUP($AM32,$W29:$AE32,8,FALSE)</f>
        <v>0</v>
      </c>
      <c r="AP32" s="1" t="str">
        <f>IF(AND($AN30=$AN32,$AO32&gt;$AO30),$AM30,$AM32)</f>
        <v>Portugal</v>
      </c>
      <c r="AQ32" s="1">
        <f>VLOOKUP($AP32,$W29:$AE32,9,FALSE)</f>
        <v>0</v>
      </c>
      <c r="AR32" s="1">
        <f>VLOOKUP($AP32,$W29:$AE32,8,FALSE)</f>
        <v>0</v>
      </c>
      <c r="AS32" s="1" t="str">
        <f>IF(AND($AQ29=$AQ32,$AR32&gt;$AR29),$AP29,$AP32)</f>
        <v>Portugal</v>
      </c>
      <c r="AT32" s="1">
        <f>VLOOKUP($AS32,$W29:$AE32,9,FALSE)</f>
        <v>0</v>
      </c>
      <c r="AU32" s="1">
        <f>VLOOKUP($AS32,$W29:$AE32,8,FALSE)</f>
        <v>0</v>
      </c>
      <c r="AV32" s="1">
        <f>VLOOKUP($AS32,$W29:$AE32,6,FALSE)</f>
        <v>0</v>
      </c>
      <c r="AW32" s="1" t="str">
        <f>IF(AND($AT31=$AT32,$AU31=$AU32,$AV32&gt;$AV31),$AS31,$AS32)</f>
        <v>Portugal</v>
      </c>
      <c r="AX32" s="1">
        <f>VLOOKUP($AW32,$W29:$AE32,9,FALSE)</f>
        <v>0</v>
      </c>
      <c r="AY32" s="1">
        <f>VLOOKUP($AW32,$W29:$AE32,8,FALSE)</f>
        <v>0</v>
      </c>
      <c r="AZ32" s="1">
        <f>VLOOKUP($AW32,$W29:$AE32,6,FALSE)</f>
        <v>0</v>
      </c>
      <c r="BA32" s="1" t="str">
        <f>IF(AND($AX30=$AX32,$AY30=$AY32,$AZ32&gt;$AZ30),$AW30,$AW32)</f>
        <v>Portugal</v>
      </c>
      <c r="BB32" s="1">
        <f>VLOOKUP($BA32,$W29:$AE32,9,FALSE)</f>
        <v>0</v>
      </c>
      <c r="BC32" s="1">
        <f>VLOOKUP($BA32,$W29:$AE32,8,FALSE)</f>
        <v>0</v>
      </c>
      <c r="BD32" s="1">
        <f>VLOOKUP($BA32,$W29:$AE32,6,FALSE)</f>
        <v>0</v>
      </c>
      <c r="BE32" s="1" t="str">
        <f>IF(AND($BB29=$BB32,$BC29=$BC32,$BD32&gt;$BD29),$BA29,$BA32)</f>
        <v>Portugal</v>
      </c>
      <c r="BF32" s="1">
        <f>VLOOKUP($BE32,$W29:$AE32,9,FALSE)</f>
        <v>0</v>
      </c>
      <c r="BG32" s="1">
        <f>VLOOKUP($BE32,$W29:$AE32,8,FALSE)</f>
        <v>0</v>
      </c>
      <c r="BH32" s="1">
        <f>VLOOKUP($BE32,$W29:$AE32,6,FALSE)</f>
        <v>0</v>
      </c>
      <c r="BL32" s="1" t="str">
        <f>BE32</f>
        <v>Portugal</v>
      </c>
      <c r="BM32" s="1">
        <f>VLOOKUP($BL32,$W29:$AE32,2,FALSE)</f>
        <v>0</v>
      </c>
      <c r="BN32" s="1">
        <f>VLOOKUP($BL32,$W29:$AE32,3,FALSE)</f>
        <v>0</v>
      </c>
      <c r="BO32" s="1">
        <f>VLOOKUP($BL32,$W29:$AE32,4,FALSE)</f>
        <v>0</v>
      </c>
      <c r="BP32" s="1">
        <f>VLOOKUP($BL32,$W29:$AE32,5,FALSE)</f>
        <v>0</v>
      </c>
      <c r="BQ32" s="1">
        <f>VLOOKUP($BL32,$W29:$AE32,6,FALSE)</f>
        <v>0</v>
      </c>
      <c r="BR32" s="1">
        <f>VLOOKUP($BL32,$W29:$AE32,7,FALSE)</f>
        <v>0</v>
      </c>
      <c r="BS32" s="1">
        <f>VLOOKUP($BL32,$W29:$AE32,8,FALSE)</f>
        <v>0</v>
      </c>
      <c r="BT32" s="1">
        <f>VLOOKUP($BL32,$W29:$AE32,9,FALSE)</f>
        <v>0</v>
      </c>
    </row>
    <row r="33" spans="2:11" ht="13.5" thickBot="1">
      <c r="B33" s="10">
        <v>39965</v>
      </c>
      <c r="C33" s="11">
        <v>0.6458333333333334</v>
      </c>
      <c r="D33" s="28" t="s">
        <v>99</v>
      </c>
      <c r="E33" s="13"/>
      <c r="F33" s="14"/>
      <c r="G33" s="12" t="s">
        <v>97</v>
      </c>
      <c r="H33" s="15" t="s">
        <v>62</v>
      </c>
      <c r="I33" s="16" t="s">
        <v>53</v>
      </c>
      <c r="J33" s="1">
        <f>IF(E33&lt;&gt;"",IF(E33&gt;F33,D33,IF(F33&gt;E33,G33,"Draw")),"")</f>
      </c>
      <c r="K33" s="1">
        <f>IF(E33&lt;&gt;"",IF(E33&lt;F33,D33,IF(F33&lt;E33,G33,"Draw")),"")</f>
      </c>
    </row>
    <row r="34" spans="2:21" ht="15.75" thickBot="1">
      <c r="B34" s="10">
        <v>39965</v>
      </c>
      <c r="C34" s="11">
        <v>0.75</v>
      </c>
      <c r="D34" s="28" t="s">
        <v>84</v>
      </c>
      <c r="E34" s="13"/>
      <c r="F34" s="14"/>
      <c r="G34" s="12" t="s">
        <v>82</v>
      </c>
      <c r="H34" s="15" t="s">
        <v>61</v>
      </c>
      <c r="I34" s="16" t="s">
        <v>32</v>
      </c>
      <c r="J34" s="1">
        <f aca="true" t="shared" si="6" ref="J34:J50">IF(E34&lt;&gt;"",IF(E34&gt;F34,D34,IF(F34&gt;E34,G34,"Draw")),"")</f>
      </c>
      <c r="K34" s="1">
        <f aca="true" t="shared" si="7" ref="K34:K50">IF(E34&lt;&gt;"",IF(E34&lt;F34,D34,IF(F34&lt;E34,G34,"Draw")),"")</f>
      </c>
      <c r="M34" s="2" t="s">
        <v>70</v>
      </c>
      <c r="N34" s="3"/>
      <c r="O34" s="3"/>
      <c r="P34" s="3"/>
      <c r="Q34" s="3"/>
      <c r="R34" s="3"/>
      <c r="S34" s="3"/>
      <c r="T34" s="3"/>
      <c r="U34" s="4"/>
    </row>
    <row r="35" spans="2:21" ht="13.5" thickBot="1">
      <c r="B35" s="10">
        <v>39965</v>
      </c>
      <c r="C35" s="11">
        <v>0.8541666666666666</v>
      </c>
      <c r="D35" s="28" t="s">
        <v>55</v>
      </c>
      <c r="E35" s="13"/>
      <c r="F35" s="14"/>
      <c r="G35" s="12" t="s">
        <v>101</v>
      </c>
      <c r="H35" s="15" t="s">
        <v>63</v>
      </c>
      <c r="I35" s="16" t="s">
        <v>54</v>
      </c>
      <c r="J35" s="1">
        <f t="shared" si="6"/>
      </c>
      <c r="K35" s="1">
        <f t="shared" si="7"/>
      </c>
      <c r="M35" s="7"/>
      <c r="N35" s="8" t="s">
        <v>18</v>
      </c>
      <c r="O35" s="8" t="s">
        <v>19</v>
      </c>
      <c r="P35" s="8" t="s">
        <v>20</v>
      </c>
      <c r="Q35" s="8" t="s">
        <v>21</v>
      </c>
      <c r="R35" s="8" t="s">
        <v>22</v>
      </c>
      <c r="S35" s="8" t="s">
        <v>23</v>
      </c>
      <c r="T35" s="8" t="s">
        <v>24</v>
      </c>
      <c r="U35" s="9" t="s">
        <v>25</v>
      </c>
    </row>
    <row r="36" spans="2:23" ht="13.5" thickBot="1">
      <c r="B36" s="10">
        <v>40330</v>
      </c>
      <c r="C36" s="11">
        <v>0.6458333333333334</v>
      </c>
      <c r="D36" s="28" t="s">
        <v>52</v>
      </c>
      <c r="E36" s="13"/>
      <c r="F36" s="14"/>
      <c r="G36" s="12" t="s">
        <v>86</v>
      </c>
      <c r="H36" s="15" t="s">
        <v>58</v>
      </c>
      <c r="I36" s="16" t="s">
        <v>21</v>
      </c>
      <c r="J36" s="1">
        <f t="shared" si="6"/>
      </c>
      <c r="K36" s="1">
        <f t="shared" si="7"/>
      </c>
      <c r="M36" s="17" t="str">
        <f aca="true" t="shared" si="8" ref="M36:U39">BL38</f>
        <v>Germany</v>
      </c>
      <c r="N36" s="18">
        <f t="shared" si="8"/>
        <v>0</v>
      </c>
      <c r="O36" s="18">
        <f t="shared" si="8"/>
        <v>0</v>
      </c>
      <c r="P36" s="18">
        <f t="shared" si="8"/>
        <v>0</v>
      </c>
      <c r="Q36" s="18">
        <f t="shared" si="8"/>
        <v>0</v>
      </c>
      <c r="R36" s="18">
        <f t="shared" si="8"/>
        <v>0</v>
      </c>
      <c r="S36" s="18">
        <f t="shared" si="8"/>
        <v>0</v>
      </c>
      <c r="T36" s="18">
        <f t="shared" si="8"/>
        <v>0</v>
      </c>
      <c r="U36" s="19">
        <f t="shared" si="8"/>
        <v>0</v>
      </c>
      <c r="W36" s="1" t="s">
        <v>70</v>
      </c>
    </row>
    <row r="37" spans="2:72" ht="13.5" thickBot="1">
      <c r="B37" s="10">
        <v>40330</v>
      </c>
      <c r="C37" s="11">
        <v>0.75</v>
      </c>
      <c r="D37" s="28" t="s">
        <v>102</v>
      </c>
      <c r="E37" s="13"/>
      <c r="F37" s="14"/>
      <c r="G37" s="12" t="s">
        <v>100</v>
      </c>
      <c r="H37" s="15" t="s">
        <v>64</v>
      </c>
      <c r="I37" s="16" t="s">
        <v>54</v>
      </c>
      <c r="J37" s="1">
        <f t="shared" si="6"/>
      </c>
      <c r="K37" s="1">
        <f t="shared" si="7"/>
      </c>
      <c r="M37" s="17" t="str">
        <f t="shared" si="8"/>
        <v>Saudi Arabia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Q37" s="18">
        <f t="shared" si="8"/>
        <v>0</v>
      </c>
      <c r="R37" s="18">
        <f t="shared" si="8"/>
        <v>0</v>
      </c>
      <c r="S37" s="18">
        <f t="shared" si="8"/>
        <v>0</v>
      </c>
      <c r="T37" s="18">
        <f t="shared" si="8"/>
        <v>0</v>
      </c>
      <c r="U37" s="19">
        <f t="shared" si="8"/>
        <v>0</v>
      </c>
      <c r="X37" s="1" t="s">
        <v>27</v>
      </c>
      <c r="Y37" s="1" t="s">
        <v>19</v>
      </c>
      <c r="Z37" s="1" t="s">
        <v>20</v>
      </c>
      <c r="AA37" s="1" t="s">
        <v>21</v>
      </c>
      <c r="AB37" s="1" t="s">
        <v>22</v>
      </c>
      <c r="AC37" s="1" t="s">
        <v>23</v>
      </c>
      <c r="AD37" s="1" t="s">
        <v>24</v>
      </c>
      <c r="AE37" s="1" t="s">
        <v>28</v>
      </c>
      <c r="AF37" s="1" t="s">
        <v>29</v>
      </c>
      <c r="AG37" s="26" t="s">
        <v>28</v>
      </c>
      <c r="AH37" s="1" t="s">
        <v>29</v>
      </c>
      <c r="AI37" s="26" t="s">
        <v>28</v>
      </c>
      <c r="AJ37" s="1" t="s">
        <v>29</v>
      </c>
      <c r="AK37" s="26" t="s">
        <v>28</v>
      </c>
      <c r="AL37" s="26" t="s">
        <v>24</v>
      </c>
      <c r="AM37" s="1" t="s">
        <v>29</v>
      </c>
      <c r="AN37" s="1" t="s">
        <v>28</v>
      </c>
      <c r="AO37" s="26" t="s">
        <v>24</v>
      </c>
      <c r="AP37" s="1" t="s">
        <v>29</v>
      </c>
      <c r="AQ37" s="1" t="s">
        <v>28</v>
      </c>
      <c r="AR37" s="26" t="s">
        <v>24</v>
      </c>
      <c r="AS37" s="1" t="s">
        <v>29</v>
      </c>
      <c r="AT37" s="1" t="s">
        <v>28</v>
      </c>
      <c r="AU37" s="26" t="s">
        <v>24</v>
      </c>
      <c r="AV37" s="26" t="s">
        <v>22</v>
      </c>
      <c r="AW37" s="1" t="s">
        <v>29</v>
      </c>
      <c r="AX37" s="1" t="s">
        <v>28</v>
      </c>
      <c r="AY37" s="26" t="s">
        <v>24</v>
      </c>
      <c r="AZ37" s="26" t="s">
        <v>22</v>
      </c>
      <c r="BA37" s="1" t="s">
        <v>29</v>
      </c>
      <c r="BB37" s="1" t="s">
        <v>28</v>
      </c>
      <c r="BC37" s="26" t="s">
        <v>24</v>
      </c>
      <c r="BD37" s="26" t="s">
        <v>22</v>
      </c>
      <c r="BE37" s="1" t="s">
        <v>29</v>
      </c>
      <c r="BF37" s="26" t="s">
        <v>28</v>
      </c>
      <c r="BG37" s="26" t="s">
        <v>24</v>
      </c>
      <c r="BH37" s="26" t="s">
        <v>22</v>
      </c>
      <c r="BM37" s="26" t="s">
        <v>18</v>
      </c>
      <c r="BN37" s="26" t="s">
        <v>19</v>
      </c>
      <c r="BO37" s="26" t="s">
        <v>20</v>
      </c>
      <c r="BP37" s="26" t="s">
        <v>21</v>
      </c>
      <c r="BQ37" s="26" t="s">
        <v>22</v>
      </c>
      <c r="BR37" s="26" t="s">
        <v>23</v>
      </c>
      <c r="BS37" s="26" t="s">
        <v>24</v>
      </c>
      <c r="BT37" s="26" t="s">
        <v>28</v>
      </c>
    </row>
    <row r="38" spans="2:72" ht="13.5" thickBot="1">
      <c r="B38" s="10">
        <v>40330</v>
      </c>
      <c r="C38" s="11">
        <v>0.8541666666666666</v>
      </c>
      <c r="D38" s="28" t="s">
        <v>87</v>
      </c>
      <c r="E38" s="13"/>
      <c r="F38" s="14"/>
      <c r="G38" s="12" t="s">
        <v>85</v>
      </c>
      <c r="H38" s="15" t="s">
        <v>59</v>
      </c>
      <c r="I38" s="16" t="s">
        <v>21</v>
      </c>
      <c r="J38" s="1">
        <f t="shared" si="6"/>
      </c>
      <c r="K38" s="1">
        <f t="shared" si="7"/>
      </c>
      <c r="M38" s="17" t="str">
        <f t="shared" si="8"/>
        <v>Ireland</v>
      </c>
      <c r="N38" s="18">
        <f t="shared" si="8"/>
        <v>0</v>
      </c>
      <c r="O38" s="18">
        <f t="shared" si="8"/>
        <v>0</v>
      </c>
      <c r="P38" s="18">
        <f t="shared" si="8"/>
        <v>0</v>
      </c>
      <c r="Q38" s="18">
        <f t="shared" si="8"/>
        <v>0</v>
      </c>
      <c r="R38" s="18">
        <f t="shared" si="8"/>
        <v>0</v>
      </c>
      <c r="S38" s="18">
        <f t="shared" si="8"/>
        <v>0</v>
      </c>
      <c r="T38" s="18">
        <f t="shared" si="8"/>
        <v>0</v>
      </c>
      <c r="U38" s="19">
        <f t="shared" si="8"/>
        <v>0</v>
      </c>
      <c r="W38" s="1" t="s">
        <v>88</v>
      </c>
      <c r="X38" s="1">
        <f>COUNT(Germany_Played)</f>
        <v>0</v>
      </c>
      <c r="Y38" s="1">
        <f>COUNTIF(Groupstage_Winners,"Germany")</f>
        <v>0</v>
      </c>
      <c r="Z38" s="1">
        <f>COUNTIF(Groupstage_Losers,"Germany")</f>
        <v>0</v>
      </c>
      <c r="AA38" s="1">
        <f>X38-(Y38+Z38)</f>
        <v>0</v>
      </c>
      <c r="AB38" s="1">
        <f>SUM(Germany_Played)</f>
        <v>0</v>
      </c>
      <c r="AC38" s="1">
        <f>SUM(Germany_Against)</f>
        <v>0</v>
      </c>
      <c r="AD38" s="1">
        <f>AB38-AC38</f>
        <v>0</v>
      </c>
      <c r="AE38" s="1">
        <f>Y38*Winpoints+AA38*Drawpoints</f>
        <v>0</v>
      </c>
      <c r="AF38" s="1" t="str">
        <f>IF($AE38&gt;=$AE39,$W38,$W39)</f>
        <v>Germany</v>
      </c>
      <c r="AG38" s="1">
        <f>VLOOKUP($AF38,$W38:$AE41,9,FALSE)</f>
        <v>0</v>
      </c>
      <c r="AH38" s="1" t="str">
        <f>IF($AG38&gt;=$AG40,$AF38,$AF40)</f>
        <v>Germany</v>
      </c>
      <c r="AI38" s="1">
        <f>VLOOKUP($AH38,$W38:$AE41,9,FALSE)</f>
        <v>0</v>
      </c>
      <c r="AJ38" s="1" t="str">
        <f>IF($AI38&gt;=$AI41,$AH38,$AH41)</f>
        <v>Germany</v>
      </c>
      <c r="AK38" s="1">
        <f>VLOOKUP($AJ38,$W38:$AE41,9,FALSE)</f>
        <v>0</v>
      </c>
      <c r="AL38" s="1">
        <f>VLOOKUP($AJ38,$W38:$AE41,8,FALSE)</f>
        <v>0</v>
      </c>
      <c r="AM38" s="1" t="str">
        <f>IF(AND($AK38=$AK39,$AL39&gt;$AL38),$AJ39,$AJ38)</f>
        <v>Germany</v>
      </c>
      <c r="AN38" s="1">
        <f>VLOOKUP($AM38,$W38:$AE41,9,FALSE)</f>
        <v>0</v>
      </c>
      <c r="AO38" s="1">
        <f>VLOOKUP($AM38,$W38:$AE41,8,FALSE)</f>
        <v>0</v>
      </c>
      <c r="AP38" s="1" t="str">
        <f>IF(AND($AN38=$AN40,$AO40&gt;$AO38),$AM40,$AM38)</f>
        <v>Germany</v>
      </c>
      <c r="AQ38" s="1">
        <f>VLOOKUP($AP38,$W38:$AE41,9,FALSE)</f>
        <v>0</v>
      </c>
      <c r="AR38" s="1">
        <f>VLOOKUP($AP38,$W38:$AE41,8,FALSE)</f>
        <v>0</v>
      </c>
      <c r="AS38" s="1" t="str">
        <f>IF(AND($AQ38=$AQ41,$AR41&gt;$AR38),$AP41,$AP38)</f>
        <v>Germany</v>
      </c>
      <c r="AT38" s="1">
        <f>VLOOKUP($AS38,$W38:$AE41,9,FALSE)</f>
        <v>0</v>
      </c>
      <c r="AU38" s="1">
        <f>VLOOKUP($AS38,$W38:$AE41,8,FALSE)</f>
        <v>0</v>
      </c>
      <c r="AV38" s="1">
        <f>VLOOKUP($AS38,$W38:$AE41,6,FALSE)</f>
        <v>0</v>
      </c>
      <c r="AW38" s="1" t="str">
        <f>IF(AND($AT38=$AT39,$AU38=$AU39,$AV39&gt;$AV38),$AS39,$AS38)</f>
        <v>Germany</v>
      </c>
      <c r="AX38" s="1">
        <f>VLOOKUP($AW38,$W38:$AE41,9,FALSE)</f>
        <v>0</v>
      </c>
      <c r="AY38" s="1">
        <f>VLOOKUP($AW38,$W38:$AE41,8,FALSE)</f>
        <v>0</v>
      </c>
      <c r="AZ38" s="1">
        <f>VLOOKUP($AW38,$W38:$AE41,6,FALSE)</f>
        <v>0</v>
      </c>
      <c r="BA38" s="1" t="str">
        <f>IF(AND($AX38=$AX40,$AY38=$AY40,$AZ40&gt;$AZ38),$AW40,$AW38)</f>
        <v>Germany</v>
      </c>
      <c r="BB38" s="1">
        <f>VLOOKUP($BA38,$W38:$AE41,9,FALSE)</f>
        <v>0</v>
      </c>
      <c r="BC38" s="1">
        <f>VLOOKUP($BA38,$W38:$AE41,8,FALSE)</f>
        <v>0</v>
      </c>
      <c r="BD38" s="1">
        <f>VLOOKUP($BA38,$W38:$AE41,6,FALSE)</f>
        <v>0</v>
      </c>
      <c r="BE38" s="1" t="str">
        <f>IF(AND($BB38=$BB41,$BC38=$BC41,$BD41&gt;$BD38),$BA41,$BA38)</f>
        <v>Germany</v>
      </c>
      <c r="BF38" s="1">
        <f>VLOOKUP($BE38,$W38:$AE41,9,FALSE)</f>
        <v>0</v>
      </c>
      <c r="BG38" s="1">
        <f>VLOOKUP($BE38,$W38:$AE41,8,FALSE)</f>
        <v>0</v>
      </c>
      <c r="BH38" s="1">
        <f>VLOOKUP($BE38,$W38:$AE41,6,FALSE)</f>
        <v>0</v>
      </c>
      <c r="BL38" s="1" t="str">
        <f>BE38</f>
        <v>Germany</v>
      </c>
      <c r="BM38" s="1">
        <f>VLOOKUP($BL38,$W38:$AE41,2,FALSE)</f>
        <v>0</v>
      </c>
      <c r="BN38" s="1">
        <f>VLOOKUP($BL38,$W38:$AE41,3,FALSE)</f>
        <v>0</v>
      </c>
      <c r="BO38" s="1">
        <f>VLOOKUP($BL38,$W38:$AE41,4,FALSE)</f>
        <v>0</v>
      </c>
      <c r="BP38" s="1">
        <f>VLOOKUP($BL38,$W38:$AE41,5,FALSE)</f>
        <v>0</v>
      </c>
      <c r="BQ38" s="1">
        <f>VLOOKUP($BL38,$W38:$AE41,6,FALSE)</f>
        <v>0</v>
      </c>
      <c r="BR38" s="1">
        <f>VLOOKUP($BL38,$W38:$AE41,7,FALSE)</f>
        <v>0</v>
      </c>
      <c r="BS38" s="1">
        <f>VLOOKUP($BL38,$W38:$AE41,8,FALSE)</f>
        <v>0</v>
      </c>
      <c r="BT38" s="1">
        <f>VLOOKUP($BL38,$W38:$AE41,9,FALSE)</f>
        <v>0</v>
      </c>
    </row>
    <row r="39" spans="2:72" ht="13.5" thickBot="1">
      <c r="B39" s="10">
        <v>40695</v>
      </c>
      <c r="C39" s="11">
        <v>0.6458333333333334</v>
      </c>
      <c r="D39" s="28" t="s">
        <v>74</v>
      </c>
      <c r="E39" s="13"/>
      <c r="F39" s="14"/>
      <c r="G39" s="12" t="s">
        <v>75</v>
      </c>
      <c r="H39" s="15" t="s">
        <v>57</v>
      </c>
      <c r="I39" s="16" t="s">
        <v>23</v>
      </c>
      <c r="J39" s="1">
        <f t="shared" si="6"/>
      </c>
      <c r="K39" s="1">
        <f t="shared" si="7"/>
      </c>
      <c r="M39" s="20" t="str">
        <f t="shared" si="8"/>
        <v>Cameroon</v>
      </c>
      <c r="N39" s="21">
        <f t="shared" si="8"/>
        <v>0</v>
      </c>
      <c r="O39" s="21">
        <f t="shared" si="8"/>
        <v>0</v>
      </c>
      <c r="P39" s="21">
        <f t="shared" si="8"/>
        <v>0</v>
      </c>
      <c r="Q39" s="21">
        <f t="shared" si="8"/>
        <v>0</v>
      </c>
      <c r="R39" s="21">
        <f t="shared" si="8"/>
        <v>0</v>
      </c>
      <c r="S39" s="21">
        <f t="shared" si="8"/>
        <v>0</v>
      </c>
      <c r="T39" s="21">
        <f t="shared" si="8"/>
        <v>0</v>
      </c>
      <c r="U39" s="22">
        <f t="shared" si="8"/>
        <v>0</v>
      </c>
      <c r="W39" s="1" t="s">
        <v>89</v>
      </c>
      <c r="X39" s="1">
        <f>COUNT(Saudi_Arabia_Played)</f>
        <v>0</v>
      </c>
      <c r="Y39" s="1">
        <f>COUNTIF(Groupstage_Winners,"Saudi Arabia")</f>
        <v>0</v>
      </c>
      <c r="Z39" s="1">
        <f>COUNTIF(Groupstage_Losers,"Saudi Arabia")</f>
        <v>0</v>
      </c>
      <c r="AA39" s="1">
        <f>X39-(Y39+Z39)</f>
        <v>0</v>
      </c>
      <c r="AB39" s="1">
        <f>SUM(Saudi_Arabia_Played)</f>
        <v>0</v>
      </c>
      <c r="AC39" s="1">
        <f>SUM(Saudi_Arabia_Against)</f>
        <v>0</v>
      </c>
      <c r="AD39" s="1">
        <f>AB39-AC39</f>
        <v>0</v>
      </c>
      <c r="AE39" s="1">
        <f>Y39*Winpoints+AA39*Drawpoints</f>
        <v>0</v>
      </c>
      <c r="AF39" s="1" t="str">
        <f>IF($AE39&lt;=$AE38,$W39,$W38)</f>
        <v>Saudi Arabia</v>
      </c>
      <c r="AG39" s="1">
        <f>VLOOKUP($AF39,$W38:$AE41,9,FALSE)</f>
        <v>0</v>
      </c>
      <c r="AH39" s="1" t="str">
        <f>IF(AG39&gt;=AG41,AF39,AF41)</f>
        <v>Saudi Arabia</v>
      </c>
      <c r="AI39" s="1">
        <f>VLOOKUP($AH39,$W38:$AE41,9,FALSE)</f>
        <v>0</v>
      </c>
      <c r="AJ39" s="1" t="str">
        <f>IF($AI39&gt;=$AI40,$AH39,$AH40)</f>
        <v>Saudi Arabia</v>
      </c>
      <c r="AK39" s="1">
        <f>VLOOKUP($AJ39,$W38:$AE41,9,FALSE)</f>
        <v>0</v>
      </c>
      <c r="AL39" s="1">
        <f>VLOOKUP($AJ39,$W38:$AE41,8,FALSE)</f>
        <v>0</v>
      </c>
      <c r="AM39" s="1" t="str">
        <f>IF(AND($AK38=$AK39,$AL39&gt;$AL38),$AJ38,$AJ39)</f>
        <v>Saudi Arabia</v>
      </c>
      <c r="AN39" s="1">
        <f>VLOOKUP($AM39,$W38:$AE41,9,FALSE)</f>
        <v>0</v>
      </c>
      <c r="AO39" s="1">
        <f>VLOOKUP($AM39,$W38:$AE41,8,FALSE)</f>
        <v>0</v>
      </c>
      <c r="AP39" s="1" t="str">
        <f>IF(AND($AN39=$AN41,$AO41&gt;$AO39),$AM41,$AM39)</f>
        <v>Saudi Arabia</v>
      </c>
      <c r="AQ39" s="1">
        <f>VLOOKUP($AP39,$W38:$AE41,9,FALSE)</f>
        <v>0</v>
      </c>
      <c r="AR39" s="1">
        <f>VLOOKUP($AP39,$W38:$AE41,8,FALSE)</f>
        <v>0</v>
      </c>
      <c r="AS39" s="1" t="str">
        <f>IF(AND($AQ39=$AQ40,$AR40&gt;$AR39),$AP40,$AP39)</f>
        <v>Saudi Arabia</v>
      </c>
      <c r="AT39" s="1">
        <f>VLOOKUP($AS39,$W38:$AE41,9,FALSE)</f>
        <v>0</v>
      </c>
      <c r="AU39" s="1">
        <f>VLOOKUP($AS39,$W38:$AE41,8,FALSE)</f>
        <v>0</v>
      </c>
      <c r="AV39" s="1">
        <f>VLOOKUP($AS39,$W38:$AE41,6,FALSE)</f>
        <v>0</v>
      </c>
      <c r="AW39" s="1" t="str">
        <f>IF(AND($AT38=$AT39,$AU38=$AU39,$AV39&gt;$AV38),$AS38,$AS39)</f>
        <v>Saudi Arabia</v>
      </c>
      <c r="AX39" s="1">
        <f>VLOOKUP($AW39,$W38:$AE41,9,FALSE)</f>
        <v>0</v>
      </c>
      <c r="AY39" s="1">
        <f>VLOOKUP($AW39,$W38:$AE41,8,FALSE)</f>
        <v>0</v>
      </c>
      <c r="AZ39" s="1">
        <f>VLOOKUP($AW39,$W38:$AE41,6,FALSE)</f>
        <v>0</v>
      </c>
      <c r="BA39" s="1" t="str">
        <f>IF(AND($AX39=$AX41,$AY39=$AY41,$AZ41&gt;$AZ39),$AW41,$AW39)</f>
        <v>Saudi Arabia</v>
      </c>
      <c r="BB39" s="1">
        <f>VLOOKUP($BA39,$W38:$AE41,9,FALSE)</f>
        <v>0</v>
      </c>
      <c r="BC39" s="1">
        <f>VLOOKUP($BA39,$W38:$AE41,8,FALSE)</f>
        <v>0</v>
      </c>
      <c r="BD39" s="1">
        <f>VLOOKUP($BA39,$W38:$AE41,6,FALSE)</f>
        <v>0</v>
      </c>
      <c r="BE39" s="1" t="str">
        <f>IF(AND($BB39=$BB40,$BC39=$BC40,$BD40&gt;$BD39),$BA40,$BA39)</f>
        <v>Saudi Arabia</v>
      </c>
      <c r="BF39" s="1">
        <f>VLOOKUP($BE39,$W38:$AE41,9,FALSE)</f>
        <v>0</v>
      </c>
      <c r="BG39" s="1">
        <f>VLOOKUP($BE39,$W38:$AE41,8,FALSE)</f>
        <v>0</v>
      </c>
      <c r="BH39" s="1">
        <f>VLOOKUP($BE39,$W38:$AE41,6,FALSE)</f>
        <v>0</v>
      </c>
      <c r="BL39" s="1" t="str">
        <f>BE39</f>
        <v>Saudi Arabia</v>
      </c>
      <c r="BM39" s="1">
        <f>VLOOKUP($BL39,$W38:$AE41,2,FALSE)</f>
        <v>0</v>
      </c>
      <c r="BN39" s="1">
        <f>VLOOKUP($BL39,$W38:$AE41,3,FALSE)</f>
        <v>0</v>
      </c>
      <c r="BO39" s="1">
        <f>VLOOKUP($BL39,$W38:$AE41,4,FALSE)</f>
        <v>0</v>
      </c>
      <c r="BP39" s="1">
        <f>VLOOKUP($BL39,$W38:$AE41,5,FALSE)</f>
        <v>0</v>
      </c>
      <c r="BQ39" s="1">
        <f>VLOOKUP($BL39,$W38:$AE41,6,FALSE)</f>
        <v>0</v>
      </c>
      <c r="BR39" s="1">
        <f>VLOOKUP($BL39,$W38:$AE41,7,FALSE)</f>
        <v>0</v>
      </c>
      <c r="BS39" s="1">
        <f>VLOOKUP($BL39,$W38:$AE41,8,FALSE)</f>
        <v>0</v>
      </c>
      <c r="BT39" s="1">
        <f>VLOOKUP($BL39,$W38:$AE41,9,FALSE)</f>
        <v>0</v>
      </c>
    </row>
    <row r="40" spans="2:72" ht="13.5" thickBot="1">
      <c r="B40" s="10">
        <v>40695</v>
      </c>
      <c r="C40" s="11">
        <v>0.6458333333333334</v>
      </c>
      <c r="D40" s="28" t="s">
        <v>76</v>
      </c>
      <c r="E40" s="13"/>
      <c r="F40" s="14"/>
      <c r="G40" s="12" t="s">
        <v>30</v>
      </c>
      <c r="H40" s="15" t="s">
        <v>61</v>
      </c>
      <c r="I40" s="16" t="s">
        <v>23</v>
      </c>
      <c r="J40" s="1">
        <f t="shared" si="6"/>
      </c>
      <c r="K40" s="1">
        <f t="shared" si="7"/>
      </c>
      <c r="W40" s="1" t="s">
        <v>90</v>
      </c>
      <c r="X40" s="1">
        <f>COUNT(Ireland_Played)</f>
        <v>0</v>
      </c>
      <c r="Y40" s="1">
        <f>COUNTIF(Groupstage_Winners,"Ireland")</f>
        <v>0</v>
      </c>
      <c r="Z40" s="1">
        <f>COUNTIF(Groupstage_Losers,"Ireland")</f>
        <v>0</v>
      </c>
      <c r="AA40" s="1">
        <f>X40-(Y40+Z40)</f>
        <v>0</v>
      </c>
      <c r="AB40" s="1">
        <f>SUM(Ireland_Played)</f>
        <v>0</v>
      </c>
      <c r="AC40" s="1">
        <f>SUM(Ireland_Against)</f>
        <v>0</v>
      </c>
      <c r="AD40" s="1">
        <f>AB40-AC40</f>
        <v>0</v>
      </c>
      <c r="AE40" s="1">
        <f>Y40*Winpoints+AA40*Drawpoints</f>
        <v>0</v>
      </c>
      <c r="AF40" s="1" t="str">
        <f>IF($AE40&gt;=$AE41,$W40,$W41)</f>
        <v>Ireland</v>
      </c>
      <c r="AG40" s="1">
        <f>VLOOKUP($AF40,$W38:$AE41,9,FALSE)</f>
        <v>0</v>
      </c>
      <c r="AH40" s="1" t="str">
        <f>IF($AG40&lt;=$AG38,$AF40,$AF38)</f>
        <v>Ireland</v>
      </c>
      <c r="AI40" s="1">
        <f>VLOOKUP($AH40,$W38:$AE41,9,FALSE)</f>
        <v>0</v>
      </c>
      <c r="AJ40" s="1" t="str">
        <f>IF($AI40&lt;=$AI39,$AH40,$AH39)</f>
        <v>Ireland</v>
      </c>
      <c r="AK40" s="1">
        <f>VLOOKUP($AJ40,$W38:$AE41,9,FALSE)</f>
        <v>0</v>
      </c>
      <c r="AL40" s="1">
        <f>VLOOKUP($AJ40,$W38:$AE41,8,FALSE)</f>
        <v>0</v>
      </c>
      <c r="AM40" s="1" t="str">
        <f>IF(AND($AK40=$AK41,$AL41&gt;$AL40),$AJ41,$AJ40)</f>
        <v>Ireland</v>
      </c>
      <c r="AN40" s="1">
        <f>VLOOKUP($AM40,$W38:$AE41,9,FALSE)</f>
        <v>0</v>
      </c>
      <c r="AO40" s="1">
        <f>VLOOKUP($AM40,$W38:$AE41,8,FALSE)</f>
        <v>0</v>
      </c>
      <c r="AP40" s="1" t="str">
        <f>IF(AND($AN38=$AN40,$AO40&gt;$AO38),$AM38,$AM40)</f>
        <v>Ireland</v>
      </c>
      <c r="AQ40" s="1">
        <f>VLOOKUP($AP40,$W38:$AE41,9,FALSE)</f>
        <v>0</v>
      </c>
      <c r="AR40" s="1">
        <f>VLOOKUP($AP40,$W38:$AE41,8,FALSE)</f>
        <v>0</v>
      </c>
      <c r="AS40" s="1" t="str">
        <f>IF(AND($AQ39=$AQ40,$AR40&gt;$AR39),$AP39,$AP40)</f>
        <v>Ireland</v>
      </c>
      <c r="AT40" s="1">
        <f>VLOOKUP($AS40,$W38:$AE41,9,FALSE)</f>
        <v>0</v>
      </c>
      <c r="AU40" s="1">
        <f>VLOOKUP($AS40,$W38:$AE41,8,FALSE)</f>
        <v>0</v>
      </c>
      <c r="AV40" s="1">
        <f>VLOOKUP($AS40,$W38:$AE41,6,FALSE)</f>
        <v>0</v>
      </c>
      <c r="AW40" s="1" t="str">
        <f>IF(AND($AT40=$AT41,$AU40=$AU41,$AV41&gt;$AV40),$AS41,$AS40)</f>
        <v>Ireland</v>
      </c>
      <c r="AX40" s="1">
        <f>VLOOKUP($AW40,$W38:$AE41,9,FALSE)</f>
        <v>0</v>
      </c>
      <c r="AY40" s="1">
        <f>VLOOKUP($AW40,$W38:$AE41,8,FALSE)</f>
        <v>0</v>
      </c>
      <c r="AZ40" s="1">
        <f>VLOOKUP($AW40,$W38:$AE41,6,FALSE)</f>
        <v>0</v>
      </c>
      <c r="BA40" s="1" t="str">
        <f>IF(AND($AX38=$AX40,$AY38=$AY40,$AZ39&gt;$AZ38),$AW38,$AW40)</f>
        <v>Ireland</v>
      </c>
      <c r="BB40" s="1">
        <f>VLOOKUP($BA40,$W38:$AE41,9,FALSE)</f>
        <v>0</v>
      </c>
      <c r="BC40" s="1">
        <f>VLOOKUP($BA40,$W38:$AE41,8,FALSE)</f>
        <v>0</v>
      </c>
      <c r="BD40" s="1">
        <f>VLOOKUP($BA40,$W38:$AE41,6,FALSE)</f>
        <v>0</v>
      </c>
      <c r="BE40" s="1" t="str">
        <f>IF(AND($BB39=$BB40,$BC39=$BC40,$BD40&gt;$BD39),$BA39,$BA40)</f>
        <v>Ireland</v>
      </c>
      <c r="BF40" s="1">
        <f>VLOOKUP($BE40,$W38:$AE41,9,FALSE)</f>
        <v>0</v>
      </c>
      <c r="BG40" s="1">
        <f>VLOOKUP($BE40,$W38:$AE41,8,FALSE)</f>
        <v>0</v>
      </c>
      <c r="BH40" s="1">
        <f>VLOOKUP($BE40,$W38:$AE41,6,FALSE)</f>
        <v>0</v>
      </c>
      <c r="BL40" s="1" t="str">
        <f>BE40</f>
        <v>Ireland</v>
      </c>
      <c r="BM40" s="1">
        <f>VLOOKUP($BL40,$W38:$AE41,2,FALSE)</f>
        <v>0</v>
      </c>
      <c r="BN40" s="1">
        <f>VLOOKUP($BL40,$W38:$AE41,3,FALSE)</f>
        <v>0</v>
      </c>
      <c r="BO40" s="1">
        <f>VLOOKUP($BL40,$W38:$AE41,4,FALSE)</f>
        <v>0</v>
      </c>
      <c r="BP40" s="1">
        <f>VLOOKUP($BL40,$W38:$AE41,5,FALSE)</f>
        <v>0</v>
      </c>
      <c r="BQ40" s="1">
        <f>VLOOKUP($BL40,$W38:$AE41,6,FALSE)</f>
        <v>0</v>
      </c>
      <c r="BR40" s="1">
        <f>VLOOKUP($BL40,$W38:$AE41,7,FALSE)</f>
        <v>0</v>
      </c>
      <c r="BS40" s="1">
        <f>VLOOKUP($BL40,$W38:$AE41,8,FALSE)</f>
        <v>0</v>
      </c>
      <c r="BT40" s="1">
        <f>VLOOKUP($BL40,$W38:$AE41,9,FALSE)</f>
        <v>0</v>
      </c>
    </row>
    <row r="41" spans="2:72" ht="15.75" thickBot="1">
      <c r="B41" s="10">
        <v>40695</v>
      </c>
      <c r="C41" s="11">
        <v>0.8541666666666666</v>
      </c>
      <c r="D41" s="28" t="s">
        <v>89</v>
      </c>
      <c r="E41" s="13"/>
      <c r="F41" s="14"/>
      <c r="G41" s="12" t="s">
        <v>90</v>
      </c>
      <c r="H41" s="15" t="s">
        <v>63</v>
      </c>
      <c r="I41" s="16" t="s">
        <v>46</v>
      </c>
      <c r="J41" s="1">
        <f t="shared" si="6"/>
      </c>
      <c r="K41" s="1">
        <f t="shared" si="7"/>
      </c>
      <c r="M41" s="2" t="s">
        <v>71</v>
      </c>
      <c r="N41" s="3"/>
      <c r="O41" s="3"/>
      <c r="P41" s="3"/>
      <c r="Q41" s="3"/>
      <c r="R41" s="3"/>
      <c r="S41" s="3"/>
      <c r="T41" s="3"/>
      <c r="U41" s="4"/>
      <c r="W41" s="1" t="s">
        <v>91</v>
      </c>
      <c r="X41" s="1">
        <f>COUNT(Cameroon_Played)</f>
        <v>0</v>
      </c>
      <c r="Y41" s="1">
        <f>COUNTIF(Groupstage_Winners,"Cameroon")</f>
        <v>0</v>
      </c>
      <c r="Z41" s="1">
        <f>COUNTIF(Groupstage_Losers,"Cameroon")</f>
        <v>0</v>
      </c>
      <c r="AA41" s="1">
        <f>X41-(Y41+Z41)</f>
        <v>0</v>
      </c>
      <c r="AB41" s="1">
        <f>SUM(Cameroon_Played)</f>
        <v>0</v>
      </c>
      <c r="AC41" s="1">
        <f>SUM(Cameroon_Against)</f>
        <v>0</v>
      </c>
      <c r="AD41" s="1">
        <f>AB41-AC41</f>
        <v>0</v>
      </c>
      <c r="AE41" s="1">
        <f>Y41*Winpoints+AA41*Drawpoints</f>
        <v>0</v>
      </c>
      <c r="AF41" s="1" t="str">
        <f>IF($AE41&lt;=$AE40,$W41,$W40)</f>
        <v>Cameroon</v>
      </c>
      <c r="AG41" s="1">
        <f>VLOOKUP($AF41,$W38:$AE41,9,FALSE)</f>
        <v>0</v>
      </c>
      <c r="AH41" s="1" t="str">
        <f>IF(AG41&lt;=AG39,AF41,AF39)</f>
        <v>Cameroon</v>
      </c>
      <c r="AI41" s="1">
        <f>VLOOKUP($AH41,$W38:$AE41,9,FALSE)</f>
        <v>0</v>
      </c>
      <c r="AJ41" s="1" t="str">
        <f>IF($AI41&lt;=$AI38,$AH41,$AH38)</f>
        <v>Cameroon</v>
      </c>
      <c r="AK41" s="1">
        <f>VLOOKUP($AJ41,$W38:$AE41,9,FALSE)</f>
        <v>0</v>
      </c>
      <c r="AL41" s="1">
        <f>VLOOKUP($AJ41,$W38:$AE41,8,FALSE)</f>
        <v>0</v>
      </c>
      <c r="AM41" s="1" t="str">
        <f>IF(AND($AK40=$AK41,$AL41&gt;$AL40),$AJ40,$AJ41)</f>
        <v>Cameroon</v>
      </c>
      <c r="AN41" s="1">
        <f>VLOOKUP($AM41,$W38:$AE41,9,FALSE)</f>
        <v>0</v>
      </c>
      <c r="AO41" s="1">
        <f>VLOOKUP($AM41,$W38:$AE41,8,FALSE)</f>
        <v>0</v>
      </c>
      <c r="AP41" s="1" t="str">
        <f>IF(AND($AN39=$AN41,$AO41&gt;$AO39),$AM39,$AM41)</f>
        <v>Cameroon</v>
      </c>
      <c r="AQ41" s="1">
        <f>VLOOKUP($AP41,$W38:$AE41,9,FALSE)</f>
        <v>0</v>
      </c>
      <c r="AR41" s="1">
        <f>VLOOKUP($AP41,$W38:$AE41,8,FALSE)</f>
        <v>0</v>
      </c>
      <c r="AS41" s="1" t="str">
        <f>IF(AND($AQ38=$AQ41,$AR41&gt;$AR38),$AP38,$AP41)</f>
        <v>Cameroon</v>
      </c>
      <c r="AT41" s="1">
        <f>VLOOKUP($AS41,$W38:$AE41,9,FALSE)</f>
        <v>0</v>
      </c>
      <c r="AU41" s="1">
        <f>VLOOKUP($AS41,$W38:$AE41,8,FALSE)</f>
        <v>0</v>
      </c>
      <c r="AV41" s="1">
        <f>VLOOKUP($AS41,$W38:$AE41,6,FALSE)</f>
        <v>0</v>
      </c>
      <c r="AW41" s="1" t="str">
        <f>IF(AND($AT40=$AT41,$AU40=$AU41,$AV41&gt;$AV40),$AS40,$AS41)</f>
        <v>Cameroon</v>
      </c>
      <c r="AX41" s="1">
        <f>VLOOKUP($AW41,$W38:$AE41,9,FALSE)</f>
        <v>0</v>
      </c>
      <c r="AY41" s="1">
        <f>VLOOKUP($AW41,$W38:$AE41,8,FALSE)</f>
        <v>0</v>
      </c>
      <c r="AZ41" s="1">
        <f>VLOOKUP($AW41,$W38:$AE41,6,FALSE)</f>
        <v>0</v>
      </c>
      <c r="BA41" s="1" t="str">
        <f>IF(AND($AX39=$AX41,$AY39=$AY41,$AZ41&gt;$AZ39),$AW39,$AW41)</f>
        <v>Cameroon</v>
      </c>
      <c r="BB41" s="1">
        <f>VLOOKUP($BA41,$W38:$AE41,9,FALSE)</f>
        <v>0</v>
      </c>
      <c r="BC41" s="1">
        <f>VLOOKUP($BA41,$W38:$AE41,8,FALSE)</f>
        <v>0</v>
      </c>
      <c r="BD41" s="1">
        <f>VLOOKUP($BA41,$W38:$AE41,6,FALSE)</f>
        <v>0</v>
      </c>
      <c r="BE41" s="1" t="str">
        <f>IF(AND($BB38=$BB41,$BC38=$BC41,$BD41&gt;$BD38),$BA38,$BA41)</f>
        <v>Cameroon</v>
      </c>
      <c r="BF41" s="1">
        <f>VLOOKUP($BE41,$W38:$AE41,9,FALSE)</f>
        <v>0</v>
      </c>
      <c r="BG41" s="1">
        <f>VLOOKUP($BE41,$W38:$AE41,8,FALSE)</f>
        <v>0</v>
      </c>
      <c r="BH41" s="1">
        <f>VLOOKUP($BE41,$W38:$AE41,6,FALSE)</f>
        <v>0</v>
      </c>
      <c r="BL41" s="1" t="str">
        <f>BE41</f>
        <v>Cameroon</v>
      </c>
      <c r="BM41" s="1">
        <f>VLOOKUP($BL41,$W38:$AE41,2,FALSE)</f>
        <v>0</v>
      </c>
      <c r="BN41" s="1">
        <f>VLOOKUP($BL41,$W38:$AE41,3,FALSE)</f>
        <v>0</v>
      </c>
      <c r="BO41" s="1">
        <f>VLOOKUP($BL41,$W38:$AE41,4,FALSE)</f>
        <v>0</v>
      </c>
      <c r="BP41" s="1">
        <f>VLOOKUP($BL41,$W38:$AE41,5,FALSE)</f>
        <v>0</v>
      </c>
      <c r="BQ41" s="1">
        <f>VLOOKUP($BL41,$W38:$AE41,6,FALSE)</f>
        <v>0</v>
      </c>
      <c r="BR41" s="1">
        <f>VLOOKUP($BL41,$W38:$AE41,7,FALSE)</f>
        <v>0</v>
      </c>
      <c r="BS41" s="1">
        <f>VLOOKUP($BL41,$W38:$AE41,8,FALSE)</f>
        <v>0</v>
      </c>
      <c r="BT41" s="1">
        <f>VLOOKUP($BL41,$W38:$AE41,9,FALSE)</f>
        <v>0</v>
      </c>
    </row>
    <row r="42" spans="2:21" ht="13.5" thickBot="1">
      <c r="B42" s="10">
        <v>40695</v>
      </c>
      <c r="C42" s="11">
        <v>0.8541666666666666</v>
      </c>
      <c r="D42" s="28" t="s">
        <v>91</v>
      </c>
      <c r="E42" s="13"/>
      <c r="F42" s="14"/>
      <c r="G42" s="12" t="s">
        <v>88</v>
      </c>
      <c r="H42" s="15" t="s">
        <v>65</v>
      </c>
      <c r="I42" s="16" t="s">
        <v>46</v>
      </c>
      <c r="J42" s="1">
        <f t="shared" si="6"/>
      </c>
      <c r="K42" s="1">
        <f t="shared" si="7"/>
      </c>
      <c r="M42" s="7"/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9" t="s">
        <v>25</v>
      </c>
    </row>
    <row r="43" spans="2:23" ht="13.5" thickBot="1">
      <c r="B43" s="10">
        <v>41061</v>
      </c>
      <c r="C43" s="11">
        <v>0.6458333333333334</v>
      </c>
      <c r="D43" s="28" t="s">
        <v>93</v>
      </c>
      <c r="E43" s="13"/>
      <c r="F43" s="14"/>
      <c r="G43" s="12" t="s">
        <v>94</v>
      </c>
      <c r="H43" s="15" t="s">
        <v>66</v>
      </c>
      <c r="I43" s="16" t="s">
        <v>22</v>
      </c>
      <c r="J43" s="1">
        <f>IF(E43&lt;&gt;"",IF(E43&gt;F43,D43,IF(F43&gt;E43,G43,"Draw")),"")</f>
      </c>
      <c r="K43" s="1">
        <f>IF(E43&lt;&gt;"",IF(E43&lt;F43,D43,IF(F43&lt;E43,G43,"Draw")),"")</f>
      </c>
      <c r="M43" s="17" t="str">
        <f aca="true" t="shared" si="9" ref="M43:U46">BL45</f>
        <v>Argentina</v>
      </c>
      <c r="N43" s="18">
        <f t="shared" si="9"/>
        <v>0</v>
      </c>
      <c r="O43" s="18">
        <f t="shared" si="9"/>
        <v>0</v>
      </c>
      <c r="P43" s="18">
        <f t="shared" si="9"/>
        <v>0</v>
      </c>
      <c r="Q43" s="18">
        <f t="shared" si="9"/>
        <v>0</v>
      </c>
      <c r="R43" s="18">
        <f t="shared" si="9"/>
        <v>0</v>
      </c>
      <c r="S43" s="18">
        <f t="shared" si="9"/>
        <v>0</v>
      </c>
      <c r="T43" s="18">
        <f t="shared" si="9"/>
        <v>0</v>
      </c>
      <c r="U43" s="19">
        <f t="shared" si="9"/>
        <v>0</v>
      </c>
      <c r="W43" s="1" t="s">
        <v>71</v>
      </c>
    </row>
    <row r="44" spans="2:31" ht="13.5" thickBot="1">
      <c r="B44" s="10">
        <v>41061</v>
      </c>
      <c r="C44" s="11">
        <v>0.6458333333333334</v>
      </c>
      <c r="D44" s="28" t="s">
        <v>95</v>
      </c>
      <c r="E44" s="13"/>
      <c r="F44" s="14"/>
      <c r="G44" s="12" t="s">
        <v>92</v>
      </c>
      <c r="H44" s="15" t="s">
        <v>62</v>
      </c>
      <c r="I44" s="16" t="s">
        <v>22</v>
      </c>
      <c r="J44" s="1">
        <f>IF(E44&lt;&gt;"",IF(E44&gt;F44,D44,IF(F44&gt;E44,G44,"Draw")),"")</f>
      </c>
      <c r="K44" s="1">
        <f>IF(E44&lt;&gt;"",IF(E44&lt;F44,D44,IF(F44&lt;E44,G44,"Draw")),"")</f>
      </c>
      <c r="M44" s="17" t="str">
        <f t="shared" si="9"/>
        <v>Nigeria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9">
        <f t="shared" si="9"/>
        <v>0</v>
      </c>
      <c r="X44" s="1" t="s">
        <v>27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28</v>
      </c>
    </row>
    <row r="45" spans="2:72" ht="13.5" thickBot="1">
      <c r="B45" s="10">
        <v>41061</v>
      </c>
      <c r="C45" s="11">
        <v>0.8541666666666666</v>
      </c>
      <c r="D45" s="28" t="s">
        <v>78</v>
      </c>
      <c r="E45" s="13"/>
      <c r="F45" s="14"/>
      <c r="G45" s="12" t="s">
        <v>79</v>
      </c>
      <c r="H45" s="15" t="s">
        <v>60</v>
      </c>
      <c r="I45" s="16" t="s">
        <v>26</v>
      </c>
      <c r="J45" s="1">
        <f>IF(E45&lt;&gt;"",IF(E45&gt;F45,D45,IF(F45&gt;E45,G45,"Draw")),"")</f>
      </c>
      <c r="K45" s="1">
        <f>IF(E45&lt;&gt;"",IF(E45&lt;F45,D45,IF(F45&lt;E45,G45,"Draw")),"")</f>
      </c>
      <c r="M45" s="17" t="str">
        <f t="shared" si="9"/>
        <v>England</v>
      </c>
      <c r="N45" s="18">
        <f t="shared" si="9"/>
        <v>0</v>
      </c>
      <c r="O45" s="18">
        <f t="shared" si="9"/>
        <v>0</v>
      </c>
      <c r="P45" s="18">
        <f t="shared" si="9"/>
        <v>0</v>
      </c>
      <c r="Q45" s="18">
        <f t="shared" si="9"/>
        <v>0</v>
      </c>
      <c r="R45" s="18">
        <f t="shared" si="9"/>
        <v>0</v>
      </c>
      <c r="S45" s="18">
        <f t="shared" si="9"/>
        <v>0</v>
      </c>
      <c r="T45" s="18">
        <f t="shared" si="9"/>
        <v>0</v>
      </c>
      <c r="U45" s="19">
        <f t="shared" si="9"/>
        <v>0</v>
      </c>
      <c r="W45" s="1" t="s">
        <v>92</v>
      </c>
      <c r="X45" s="1">
        <f>COUNT(Argentina_Played)</f>
        <v>0</v>
      </c>
      <c r="Y45" s="1">
        <f>COUNTIF(Groupstage_Winners,"Argentina")</f>
        <v>0</v>
      </c>
      <c r="Z45" s="1">
        <f>COUNTIF(Groupstage_Losers,"Argentina")</f>
        <v>0</v>
      </c>
      <c r="AA45" s="1">
        <f>X45-(Y45+Z45)</f>
        <v>0</v>
      </c>
      <c r="AB45" s="1">
        <f>SUM(Argentina_Played)</f>
        <v>0</v>
      </c>
      <c r="AC45" s="1">
        <f>SUM(Argentina_Against)</f>
        <v>0</v>
      </c>
      <c r="AD45" s="1">
        <f>AB45-AC45</f>
        <v>0</v>
      </c>
      <c r="AE45" s="1">
        <f>Y45*Winpoints+AA45*Drawpoints</f>
        <v>0</v>
      </c>
      <c r="AF45" s="1" t="str">
        <f>IF($AE45&gt;=$AE46,$W45,$W46)</f>
        <v>Argentina</v>
      </c>
      <c r="AG45" s="1">
        <f>VLOOKUP($AF45,$W45:$AE48,9,FALSE)</f>
        <v>0</v>
      </c>
      <c r="AH45" s="1" t="str">
        <f>IF($AG45&gt;=$AG47,$AF45,$AF47)</f>
        <v>Argentina</v>
      </c>
      <c r="AI45" s="1">
        <f>VLOOKUP($AH45,$W45:$AE48,9,FALSE)</f>
        <v>0</v>
      </c>
      <c r="AJ45" s="1" t="str">
        <f>IF($AI45&gt;=$AI48,$AH45,$AH48)</f>
        <v>Argentina</v>
      </c>
      <c r="AK45" s="1">
        <f>VLOOKUP($AJ45,$W45:$AE48,9,FALSE)</f>
        <v>0</v>
      </c>
      <c r="AL45" s="1">
        <f>VLOOKUP($AJ45,$W45:$AE48,8,FALSE)</f>
        <v>0</v>
      </c>
      <c r="AM45" s="1" t="str">
        <f>IF(AND($AK45=$AK46,$AL46&gt;$AL45),$AJ46,$AJ45)</f>
        <v>Argentina</v>
      </c>
      <c r="AN45" s="1">
        <f>VLOOKUP($AM45,$W45:$AE48,9,FALSE)</f>
        <v>0</v>
      </c>
      <c r="AO45" s="1">
        <f>VLOOKUP($AM45,$W45:$AE48,8,FALSE)</f>
        <v>0</v>
      </c>
      <c r="AP45" s="1" t="str">
        <f>IF(AND($AN45=$AN47,$AO47&gt;$AO45),$AM47,$AM45)</f>
        <v>Argentina</v>
      </c>
      <c r="AQ45" s="1">
        <f>VLOOKUP($AP45,$W45:$AE48,9,FALSE)</f>
        <v>0</v>
      </c>
      <c r="AR45" s="1">
        <f>VLOOKUP($AP45,$W45:$AE48,8,FALSE)</f>
        <v>0</v>
      </c>
      <c r="AS45" s="1" t="str">
        <f>IF(AND($AQ45=$AQ48,$AR48&gt;$AR45),$AP48,$AP45)</f>
        <v>Argentina</v>
      </c>
      <c r="AT45" s="1">
        <f>VLOOKUP($AS45,$W45:$AE48,9,FALSE)</f>
        <v>0</v>
      </c>
      <c r="AU45" s="1">
        <f>VLOOKUP($AS45,$W45:$AE48,8,FALSE)</f>
        <v>0</v>
      </c>
      <c r="AV45" s="1">
        <f>VLOOKUP($AS45,$W45:$AE48,6,FALSE)</f>
        <v>0</v>
      </c>
      <c r="AW45" s="1" t="str">
        <f>IF(AND($AT45=$AT46,$AU45=$AU46,$AV46&gt;$AV45),$AS46,$AS45)</f>
        <v>Argentina</v>
      </c>
      <c r="AX45" s="1">
        <f>VLOOKUP($AW45,$W45:$AE48,9,FALSE)</f>
        <v>0</v>
      </c>
      <c r="AY45" s="1">
        <f>VLOOKUP($AW45,$W45:$AE48,8,FALSE)</f>
        <v>0</v>
      </c>
      <c r="AZ45" s="1">
        <f>VLOOKUP($AW45,$W45:$AE48,6,FALSE)</f>
        <v>0</v>
      </c>
      <c r="BA45" s="1" t="str">
        <f>IF(AND($AX45=$AX47,$AY45=$AY47,$AZ47&gt;$AZ45),$AW47,$AW45)</f>
        <v>Argentina</v>
      </c>
      <c r="BB45" s="1">
        <f>VLOOKUP($BA45,$W45:$AE48,9,FALSE)</f>
        <v>0</v>
      </c>
      <c r="BC45" s="1">
        <f>VLOOKUP($BA45,$W45:$AE48,8,FALSE)</f>
        <v>0</v>
      </c>
      <c r="BD45" s="1">
        <f>VLOOKUP($BA45,$W45:$AE48,6,FALSE)</f>
        <v>0</v>
      </c>
      <c r="BE45" s="1" t="str">
        <f>IF(AND($BB45=$BB48,$BC45=$BC48,$BD48&gt;$BD45),$BA48,$BA45)</f>
        <v>Argentina</v>
      </c>
      <c r="BF45" s="1">
        <f>VLOOKUP($BE45,$W45:$AE48,9,FALSE)</f>
        <v>0</v>
      </c>
      <c r="BG45" s="1">
        <f>VLOOKUP($BE45,$W45:$AE48,8,FALSE)</f>
        <v>0</v>
      </c>
      <c r="BH45" s="1">
        <f>VLOOKUP($BE45,$W45:$AE48,6,FALSE)</f>
        <v>0</v>
      </c>
      <c r="BL45" s="1" t="str">
        <f>BE45</f>
        <v>Argentina</v>
      </c>
      <c r="BM45" s="1">
        <f>VLOOKUP($BL45,$W45:$AE48,2,FALSE)</f>
        <v>0</v>
      </c>
      <c r="BN45" s="1">
        <f>VLOOKUP($BL45,$W45:$AE48,3,FALSE)</f>
        <v>0</v>
      </c>
      <c r="BO45" s="1">
        <f>VLOOKUP($BL45,$W45:$AE48,4,FALSE)</f>
        <v>0</v>
      </c>
      <c r="BP45" s="1">
        <f>VLOOKUP($BL45,$W45:$AE48,5,FALSE)</f>
        <v>0</v>
      </c>
      <c r="BQ45" s="1">
        <f>VLOOKUP($BL45,$W45:$AE48,6,FALSE)</f>
        <v>0</v>
      </c>
      <c r="BR45" s="1">
        <f>VLOOKUP($BL45,$W45:$AE48,7,FALSE)</f>
        <v>0</v>
      </c>
      <c r="BS45" s="1">
        <f>VLOOKUP($BL45,$W45:$AE48,8,FALSE)</f>
        <v>0</v>
      </c>
      <c r="BT45" s="1">
        <f>VLOOKUP($BL45,$W45:$AE48,9,FALSE)</f>
        <v>0</v>
      </c>
    </row>
    <row r="46" spans="2:72" ht="13.5" thickBot="1">
      <c r="B46" s="10">
        <v>41061</v>
      </c>
      <c r="C46" s="11">
        <v>0.8541666666666666</v>
      </c>
      <c r="D46" s="28" t="s">
        <v>80</v>
      </c>
      <c r="E46" s="13"/>
      <c r="F46" s="14"/>
      <c r="G46" s="12" t="s">
        <v>77</v>
      </c>
      <c r="H46" s="15" t="s">
        <v>67</v>
      </c>
      <c r="I46" s="16" t="s">
        <v>26</v>
      </c>
      <c r="J46" s="1">
        <f>IF(E46&lt;&gt;"",IF(E46&gt;F46,D46,IF(F46&gt;E46,G46,"Draw")),"")</f>
      </c>
      <c r="K46" s="1">
        <f>IF(E46&lt;&gt;"",IF(E46&lt;F46,D46,IF(F46&lt;E46,G46,"Draw")),"")</f>
      </c>
      <c r="M46" s="20" t="str">
        <f t="shared" si="9"/>
        <v>Sweden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2">
        <f t="shared" si="9"/>
        <v>0</v>
      </c>
      <c r="W46" s="1" t="s">
        <v>93</v>
      </c>
      <c r="X46" s="1">
        <f>COUNT(Nigeria_Played)</f>
        <v>0</v>
      </c>
      <c r="Y46" s="1">
        <f>COUNTIF(Groupstage_Winners,"Nigeria")</f>
        <v>0</v>
      </c>
      <c r="Z46" s="1">
        <f>COUNTIF(Groupstage_Losers,"Nigeria")</f>
        <v>0</v>
      </c>
      <c r="AA46" s="1">
        <f>X46-(Y46+Z46)</f>
        <v>0</v>
      </c>
      <c r="AB46" s="1">
        <f>SUM(Nigeria_Played)</f>
        <v>0</v>
      </c>
      <c r="AC46" s="1">
        <f>SUM(Nigeria_Against)</f>
        <v>0</v>
      </c>
      <c r="AD46" s="1">
        <f>AB46-AC46</f>
        <v>0</v>
      </c>
      <c r="AE46" s="1">
        <f>Y46*Winpoints+AA46*Drawpoints</f>
        <v>0</v>
      </c>
      <c r="AF46" s="1" t="str">
        <f>IF($AE46&lt;=$AE45,$W46,$W45)</f>
        <v>Nigeria</v>
      </c>
      <c r="AG46" s="1">
        <f>VLOOKUP($AF46,$W45:$AE48,9,FALSE)</f>
        <v>0</v>
      </c>
      <c r="AH46" s="1" t="str">
        <f>IF(AG46&gt;=AG48,AF46,AF48)</f>
        <v>Nigeria</v>
      </c>
      <c r="AI46" s="1">
        <f>VLOOKUP($AH46,$W45:$AE48,9,FALSE)</f>
        <v>0</v>
      </c>
      <c r="AJ46" s="1" t="str">
        <f>IF($AI46&gt;=$AI47,$AH46,$AH47)</f>
        <v>Nigeria</v>
      </c>
      <c r="AK46" s="1">
        <f>VLOOKUP($AJ46,$W45:$AE48,9,FALSE)</f>
        <v>0</v>
      </c>
      <c r="AL46" s="1">
        <f>VLOOKUP($AJ46,$W45:$AE48,8,FALSE)</f>
        <v>0</v>
      </c>
      <c r="AM46" s="1" t="str">
        <f>IF(AND($AK45=$AK46,$AL46&gt;$AL45),$AJ45,$AJ46)</f>
        <v>Nigeria</v>
      </c>
      <c r="AN46" s="1">
        <f>VLOOKUP($AM46,$W45:$AE48,9,FALSE)</f>
        <v>0</v>
      </c>
      <c r="AO46" s="1">
        <f>VLOOKUP($AM46,$W45:$AE48,8,FALSE)</f>
        <v>0</v>
      </c>
      <c r="AP46" s="1" t="str">
        <f>IF(AND($AN46=$AN48,$AO48&gt;$AO46),$AM48,$AM46)</f>
        <v>Nigeria</v>
      </c>
      <c r="AQ46" s="1">
        <f>VLOOKUP($AP46,$W45:$AE48,9,FALSE)</f>
        <v>0</v>
      </c>
      <c r="AR46" s="1">
        <f>VLOOKUP($AP46,$W45:$AE48,8,FALSE)</f>
        <v>0</v>
      </c>
      <c r="AS46" s="1" t="str">
        <f>IF(AND($AQ46=$AQ47,$AR47&gt;$AR46),$AP47,$AP46)</f>
        <v>Nigeria</v>
      </c>
      <c r="AT46" s="1">
        <f>VLOOKUP($AS46,$W45:$AE48,9,FALSE)</f>
        <v>0</v>
      </c>
      <c r="AU46" s="1">
        <f>VLOOKUP($AS46,$W45:$AE48,8,FALSE)</f>
        <v>0</v>
      </c>
      <c r="AV46" s="1">
        <f>VLOOKUP($AS46,$W45:$AE48,6,FALSE)</f>
        <v>0</v>
      </c>
      <c r="AW46" s="1" t="str">
        <f>IF(AND($AT45=$AT46,$AU45=$AU46,$AV46&gt;$AV45),$AS45,$AS46)</f>
        <v>Nigeria</v>
      </c>
      <c r="AX46" s="1">
        <f>VLOOKUP($AW46,$W45:$AE48,9,FALSE)</f>
        <v>0</v>
      </c>
      <c r="AY46" s="1">
        <f>VLOOKUP($AW46,$W45:$AE48,8,FALSE)</f>
        <v>0</v>
      </c>
      <c r="AZ46" s="1">
        <f>VLOOKUP($AW46,$W45:$AE48,6,FALSE)</f>
        <v>0</v>
      </c>
      <c r="BA46" s="1" t="str">
        <f>IF(AND($AX46=$AX48,$AY46=$AY48,$AZ48&gt;$AZ46),$AW48,$AW46)</f>
        <v>Nigeria</v>
      </c>
      <c r="BB46" s="1">
        <f>VLOOKUP($BA46,$W45:$AE48,9,FALSE)</f>
        <v>0</v>
      </c>
      <c r="BC46" s="1">
        <f>VLOOKUP($BA46,$W45:$AE48,8,FALSE)</f>
        <v>0</v>
      </c>
      <c r="BD46" s="1">
        <f>VLOOKUP($BA46,$W45:$AE48,6,FALSE)</f>
        <v>0</v>
      </c>
      <c r="BE46" s="1" t="str">
        <f>IF(AND($BB46=$BB47,$BC46=$BC47,$BD47&gt;$BD46),$BA47,$BA46)</f>
        <v>Nigeria</v>
      </c>
      <c r="BF46" s="1">
        <f>VLOOKUP($BE46,$W45:$AE48,9,FALSE)</f>
        <v>0</v>
      </c>
      <c r="BG46" s="1">
        <f>VLOOKUP($BE46,$W45:$AE48,8,FALSE)</f>
        <v>0</v>
      </c>
      <c r="BH46" s="1">
        <f>VLOOKUP($BE46,$W45:$AE48,6,FALSE)</f>
        <v>0</v>
      </c>
      <c r="BL46" s="1" t="str">
        <f>BE46</f>
        <v>Nigeria</v>
      </c>
      <c r="BM46" s="1">
        <f>VLOOKUP($BL46,$W45:$AE48,2,FALSE)</f>
        <v>0</v>
      </c>
      <c r="BN46" s="1">
        <f>VLOOKUP($BL46,$W45:$AE48,3,FALSE)</f>
        <v>0</v>
      </c>
      <c r="BO46" s="1">
        <f>VLOOKUP($BL46,$W45:$AE48,4,FALSE)</f>
        <v>0</v>
      </c>
      <c r="BP46" s="1">
        <f>VLOOKUP($BL46,$W45:$AE48,5,FALSE)</f>
        <v>0</v>
      </c>
      <c r="BQ46" s="1">
        <f>VLOOKUP($BL46,$W45:$AE48,6,FALSE)</f>
        <v>0</v>
      </c>
      <c r="BR46" s="1">
        <f>VLOOKUP($BL46,$W45:$AE48,7,FALSE)</f>
        <v>0</v>
      </c>
      <c r="BS46" s="1">
        <f>VLOOKUP($BL46,$W45:$AE48,8,FALSE)</f>
        <v>0</v>
      </c>
      <c r="BT46" s="1">
        <f>VLOOKUP($BL46,$W45:$AE48,9,FALSE)</f>
        <v>0</v>
      </c>
    </row>
    <row r="47" spans="2:72" ht="13.5" thickBot="1">
      <c r="B47" s="10">
        <v>41426</v>
      </c>
      <c r="C47" s="11">
        <v>0.6458333333333334</v>
      </c>
      <c r="D47" s="28" t="s">
        <v>82</v>
      </c>
      <c r="E47" s="13"/>
      <c r="F47" s="14"/>
      <c r="G47" s="12" t="s">
        <v>83</v>
      </c>
      <c r="H47" s="15" t="s">
        <v>43</v>
      </c>
      <c r="I47" s="16" t="s">
        <v>32</v>
      </c>
      <c r="J47" s="1">
        <f t="shared" si="6"/>
      </c>
      <c r="K47" s="1">
        <f t="shared" si="7"/>
      </c>
      <c r="W47" s="1" t="s">
        <v>94</v>
      </c>
      <c r="X47" s="1">
        <f>COUNT(England_Played)</f>
        <v>0</v>
      </c>
      <c r="Y47" s="1">
        <f>COUNTIF(Groupstage_Winners,"England")</f>
        <v>0</v>
      </c>
      <c r="Z47" s="1">
        <f>COUNTIF(Groupstage_Losers,"England")</f>
        <v>0</v>
      </c>
      <c r="AA47" s="1">
        <f>X47-(Y47+Z47)</f>
        <v>0</v>
      </c>
      <c r="AB47" s="1">
        <f>SUM(England_Played)</f>
        <v>0</v>
      </c>
      <c r="AC47" s="1">
        <f>SUM(England_Against)</f>
        <v>0</v>
      </c>
      <c r="AD47" s="1">
        <f>AB47-AC47</f>
        <v>0</v>
      </c>
      <c r="AE47" s="1">
        <f>Y47*Winpoints+AA47*Drawpoints</f>
        <v>0</v>
      </c>
      <c r="AF47" s="1" t="str">
        <f>IF($AE47&gt;=$AE48,$W47,$W48)</f>
        <v>England</v>
      </c>
      <c r="AG47" s="1">
        <f>VLOOKUP($AF47,$W45:$AE48,9,FALSE)</f>
        <v>0</v>
      </c>
      <c r="AH47" s="1" t="str">
        <f>IF($AG47&lt;=$AG45,$AF47,$AF45)</f>
        <v>England</v>
      </c>
      <c r="AI47" s="1">
        <f>VLOOKUP($AH47,$W45:$AE48,9,FALSE)</f>
        <v>0</v>
      </c>
      <c r="AJ47" s="1" t="str">
        <f>IF($AI47&lt;=$AI46,$AH47,$AH46)</f>
        <v>England</v>
      </c>
      <c r="AK47" s="1">
        <f>VLOOKUP($AJ47,$W45:$AE48,9,FALSE)</f>
        <v>0</v>
      </c>
      <c r="AL47" s="1">
        <f>VLOOKUP($AJ47,$W45:$AE48,8,FALSE)</f>
        <v>0</v>
      </c>
      <c r="AM47" s="1" t="str">
        <f>IF(AND($AK47=$AK48,$AL48&gt;$AL47),$AJ48,$AJ47)</f>
        <v>England</v>
      </c>
      <c r="AN47" s="1">
        <f>VLOOKUP($AM47,$W45:$AE48,9,FALSE)</f>
        <v>0</v>
      </c>
      <c r="AO47" s="1">
        <f>VLOOKUP($AM47,$W45:$AE48,8,FALSE)</f>
        <v>0</v>
      </c>
      <c r="AP47" s="1" t="str">
        <f>IF(AND($AN45=$AN47,$AO47&gt;$AO45),$AM45,$AM47)</f>
        <v>England</v>
      </c>
      <c r="AQ47" s="1">
        <f>VLOOKUP($AP47,$W45:$AE48,9,FALSE)</f>
        <v>0</v>
      </c>
      <c r="AR47" s="1">
        <f>VLOOKUP($AP47,$W45:$AE48,8,FALSE)</f>
        <v>0</v>
      </c>
      <c r="AS47" s="1" t="str">
        <f>IF(AND($AQ46=$AQ47,$AR47&gt;$AR46),$AP46,$AP47)</f>
        <v>England</v>
      </c>
      <c r="AT47" s="1">
        <f>VLOOKUP($AS47,$W45:$AE48,9,FALSE)</f>
        <v>0</v>
      </c>
      <c r="AU47" s="1">
        <f>VLOOKUP($AS47,$W45:$AE48,8,FALSE)</f>
        <v>0</v>
      </c>
      <c r="AV47" s="1">
        <f>VLOOKUP($AS47,$W45:$AE48,6,FALSE)</f>
        <v>0</v>
      </c>
      <c r="AW47" s="1" t="str">
        <f>IF(AND($AT47=$AT48,$AU47=$AU48,$AV48&gt;$AV47),$AS48,$AS47)</f>
        <v>England</v>
      </c>
      <c r="AX47" s="1">
        <f>VLOOKUP($AW47,$W45:$AE48,9,FALSE)</f>
        <v>0</v>
      </c>
      <c r="AY47" s="1">
        <f>VLOOKUP($AW47,$W45:$AE48,8,FALSE)</f>
        <v>0</v>
      </c>
      <c r="AZ47" s="1">
        <f>VLOOKUP($AW47,$W45:$AE48,6,FALSE)</f>
        <v>0</v>
      </c>
      <c r="BA47" s="1" t="str">
        <f>IF(AND($AX45=$AX47,$AY45=$AY47,$AZ46&gt;$AZ45),$AW45,$AW47)</f>
        <v>England</v>
      </c>
      <c r="BB47" s="1">
        <f>VLOOKUP($BA47,$W45:$AE48,9,FALSE)</f>
        <v>0</v>
      </c>
      <c r="BC47" s="1">
        <f>VLOOKUP($BA47,$W45:$AE48,8,FALSE)</f>
        <v>0</v>
      </c>
      <c r="BD47" s="1">
        <f>VLOOKUP($BA47,$W45:$AE48,6,FALSE)</f>
        <v>0</v>
      </c>
      <c r="BE47" s="1" t="str">
        <f>IF(AND($BB46=$BB47,$BC46=$BC47,$BD47&gt;$BD46),$BA46,$BA47)</f>
        <v>England</v>
      </c>
      <c r="BF47" s="1">
        <f>VLOOKUP($BE47,$W45:$AE48,9,FALSE)</f>
        <v>0</v>
      </c>
      <c r="BG47" s="1">
        <f>VLOOKUP($BE47,$W45:$AE48,8,FALSE)</f>
        <v>0</v>
      </c>
      <c r="BH47" s="1">
        <f>VLOOKUP($BE47,$W45:$AE48,6,FALSE)</f>
        <v>0</v>
      </c>
      <c r="BL47" s="1" t="str">
        <f>BE47</f>
        <v>England</v>
      </c>
      <c r="BM47" s="1">
        <f>VLOOKUP($BL47,$W45:$AE48,2,FALSE)</f>
        <v>0</v>
      </c>
      <c r="BN47" s="1">
        <f>VLOOKUP($BL47,$W45:$AE48,3,FALSE)</f>
        <v>0</v>
      </c>
      <c r="BO47" s="1">
        <f>VLOOKUP($BL47,$W45:$AE48,4,FALSE)</f>
        <v>0</v>
      </c>
      <c r="BP47" s="1">
        <f>VLOOKUP($BL47,$W45:$AE48,5,FALSE)</f>
        <v>0</v>
      </c>
      <c r="BQ47" s="1">
        <f>VLOOKUP($BL47,$W45:$AE48,6,FALSE)</f>
        <v>0</v>
      </c>
      <c r="BR47" s="1">
        <f>VLOOKUP($BL47,$W45:$AE48,7,FALSE)</f>
        <v>0</v>
      </c>
      <c r="BS47" s="1">
        <f>VLOOKUP($BL47,$W45:$AE48,8,FALSE)</f>
        <v>0</v>
      </c>
      <c r="BT47" s="1">
        <f>VLOOKUP($BL47,$W45:$AE48,9,FALSE)</f>
        <v>0</v>
      </c>
    </row>
    <row r="48" spans="2:72" ht="15.75" thickBot="1">
      <c r="B48" s="10">
        <v>41426</v>
      </c>
      <c r="C48" s="11">
        <v>0.6458333333333334</v>
      </c>
      <c r="D48" s="28" t="s">
        <v>84</v>
      </c>
      <c r="E48" s="13"/>
      <c r="F48" s="14"/>
      <c r="G48" s="12" t="s">
        <v>81</v>
      </c>
      <c r="H48" s="15" t="s">
        <v>57</v>
      </c>
      <c r="I48" s="16" t="s">
        <v>32</v>
      </c>
      <c r="J48" s="1">
        <f t="shared" si="6"/>
      </c>
      <c r="K48" s="1">
        <f t="shared" si="7"/>
      </c>
      <c r="M48" s="2" t="s">
        <v>72</v>
      </c>
      <c r="N48" s="3"/>
      <c r="O48" s="3"/>
      <c r="P48" s="3"/>
      <c r="Q48" s="3"/>
      <c r="R48" s="3"/>
      <c r="S48" s="3"/>
      <c r="T48" s="3"/>
      <c r="U48" s="4"/>
      <c r="W48" s="1" t="s">
        <v>95</v>
      </c>
      <c r="X48" s="1">
        <f>COUNT(Sweden_Played)</f>
        <v>0</v>
      </c>
      <c r="Y48" s="1">
        <f>COUNTIF(Groupstage_Winners,"Sweden")</f>
        <v>0</v>
      </c>
      <c r="Z48" s="1">
        <f>COUNTIF(Groupstage_Losers,"Sweden")</f>
        <v>0</v>
      </c>
      <c r="AA48" s="1">
        <f>X48-(Y48+Z48)</f>
        <v>0</v>
      </c>
      <c r="AB48" s="1">
        <f>SUM(Sweden_Played)</f>
        <v>0</v>
      </c>
      <c r="AC48" s="1">
        <f>SUM(Sweden_Against)</f>
        <v>0</v>
      </c>
      <c r="AD48" s="1">
        <f>AB48-AC48</f>
        <v>0</v>
      </c>
      <c r="AE48" s="1">
        <f>Y48*Winpoints+AA48*Drawpoints</f>
        <v>0</v>
      </c>
      <c r="AF48" s="1" t="str">
        <f>IF($AE48&lt;=$AE47,$W48,$W47)</f>
        <v>Sweden</v>
      </c>
      <c r="AG48" s="1">
        <f>VLOOKUP($AF48,$W45:$AE48,9,FALSE)</f>
        <v>0</v>
      </c>
      <c r="AH48" s="1" t="str">
        <f>IF(AG48&lt;=AG46,AF48,AF46)</f>
        <v>Sweden</v>
      </c>
      <c r="AI48" s="1">
        <f>VLOOKUP($AH48,$W45:$AE48,9,FALSE)</f>
        <v>0</v>
      </c>
      <c r="AJ48" s="1" t="str">
        <f>IF($AI48&lt;=$AI45,$AH48,$AH45)</f>
        <v>Sweden</v>
      </c>
      <c r="AK48" s="1">
        <f>VLOOKUP($AJ48,$W45:$AE48,9,FALSE)</f>
        <v>0</v>
      </c>
      <c r="AL48" s="1">
        <f>VLOOKUP($AJ48,$W45:$AE48,8,FALSE)</f>
        <v>0</v>
      </c>
      <c r="AM48" s="1" t="str">
        <f>IF(AND($AK47=$AK48,$AL48&gt;$AL47),$AJ47,$AJ48)</f>
        <v>Sweden</v>
      </c>
      <c r="AN48" s="1">
        <f>VLOOKUP($AM48,$W45:$AE48,9,FALSE)</f>
        <v>0</v>
      </c>
      <c r="AO48" s="1">
        <f>VLOOKUP($AM48,$W45:$AE48,8,FALSE)</f>
        <v>0</v>
      </c>
      <c r="AP48" s="1" t="str">
        <f>IF(AND($AN46=$AN48,$AO48&gt;$AO46),$AM46,$AM48)</f>
        <v>Sweden</v>
      </c>
      <c r="AQ48" s="1">
        <f>VLOOKUP($AP48,$W45:$AE48,9,FALSE)</f>
        <v>0</v>
      </c>
      <c r="AR48" s="1">
        <f>VLOOKUP($AP48,$W45:$AE48,8,FALSE)</f>
        <v>0</v>
      </c>
      <c r="AS48" s="1" t="str">
        <f>IF(AND($AQ45=$AQ48,$AR48&gt;$AR45),$AP45,$AP48)</f>
        <v>Sweden</v>
      </c>
      <c r="AT48" s="1">
        <f>VLOOKUP($AS48,$W45:$AE48,9,FALSE)</f>
        <v>0</v>
      </c>
      <c r="AU48" s="1">
        <f>VLOOKUP($AS48,$W45:$AE48,8,FALSE)</f>
        <v>0</v>
      </c>
      <c r="AV48" s="1">
        <f>VLOOKUP($AS48,$W45:$AE48,6,FALSE)</f>
        <v>0</v>
      </c>
      <c r="AW48" s="1" t="str">
        <f>IF(AND($AT47=$AT48,$AU47=$AU48,$AV48&gt;$AV47),$AS47,$AS48)</f>
        <v>Sweden</v>
      </c>
      <c r="AX48" s="1">
        <f>VLOOKUP($AW48,$W45:$AE48,9,FALSE)</f>
        <v>0</v>
      </c>
      <c r="AY48" s="1">
        <f>VLOOKUP($AW48,$W45:$AE48,8,FALSE)</f>
        <v>0</v>
      </c>
      <c r="AZ48" s="1">
        <f>VLOOKUP($AW48,$W45:$AE48,6,FALSE)</f>
        <v>0</v>
      </c>
      <c r="BA48" s="1" t="str">
        <f>IF(AND($AX46=$AX48,$AY46=$AY48,$AZ48&gt;$AZ46),$AW46,$AW48)</f>
        <v>Sweden</v>
      </c>
      <c r="BB48" s="1">
        <f>VLOOKUP($BA48,$W45:$AE48,9,FALSE)</f>
        <v>0</v>
      </c>
      <c r="BC48" s="1">
        <f>VLOOKUP($BA48,$W45:$AE48,8,FALSE)</f>
        <v>0</v>
      </c>
      <c r="BD48" s="1">
        <f>VLOOKUP($BA48,$W45:$AE48,6,FALSE)</f>
        <v>0</v>
      </c>
      <c r="BE48" s="1" t="str">
        <f>IF(AND($BB45=$BB48,$BC45=$BC48,$BD48&gt;$BD45),$BA45,$BA48)</f>
        <v>Sweden</v>
      </c>
      <c r="BF48" s="1">
        <f>VLOOKUP($BE48,$W45:$AE48,9,FALSE)</f>
        <v>0</v>
      </c>
      <c r="BG48" s="1">
        <f>VLOOKUP($BE48,$W45:$AE48,8,FALSE)</f>
        <v>0</v>
      </c>
      <c r="BH48" s="1">
        <f>VLOOKUP($BE48,$W45:$AE48,6,FALSE)</f>
        <v>0</v>
      </c>
      <c r="BL48" s="1" t="str">
        <f>BE48</f>
        <v>Sweden</v>
      </c>
      <c r="BM48" s="1">
        <f>VLOOKUP($BL48,$W45:$AE48,2,FALSE)</f>
        <v>0</v>
      </c>
      <c r="BN48" s="1">
        <f>VLOOKUP($BL48,$W45:$AE48,3,FALSE)</f>
        <v>0</v>
      </c>
      <c r="BO48" s="1">
        <f>VLOOKUP($BL48,$W45:$AE48,4,FALSE)</f>
        <v>0</v>
      </c>
      <c r="BP48" s="1">
        <f>VLOOKUP($BL48,$W45:$AE48,5,FALSE)</f>
        <v>0</v>
      </c>
      <c r="BQ48" s="1">
        <f>VLOOKUP($BL48,$W45:$AE48,6,FALSE)</f>
        <v>0</v>
      </c>
      <c r="BR48" s="1">
        <f>VLOOKUP($BL48,$W45:$AE48,7,FALSE)</f>
        <v>0</v>
      </c>
      <c r="BS48" s="1">
        <f>VLOOKUP($BL48,$W45:$AE48,8,FALSE)</f>
        <v>0</v>
      </c>
      <c r="BT48" s="1">
        <f>VLOOKUP($BL48,$W45:$AE48,9,FALSE)</f>
        <v>0</v>
      </c>
    </row>
    <row r="49" spans="2:21" ht="13.5" thickBot="1">
      <c r="B49" s="10">
        <v>41426</v>
      </c>
      <c r="C49" s="11">
        <v>0.8541666666666666</v>
      </c>
      <c r="D49" s="28" t="s">
        <v>97</v>
      </c>
      <c r="E49" s="13"/>
      <c r="F49" s="14"/>
      <c r="G49" s="12" t="s">
        <v>98</v>
      </c>
      <c r="H49" s="15" t="s">
        <v>63</v>
      </c>
      <c r="I49" s="16" t="s">
        <v>53</v>
      </c>
      <c r="J49" s="1">
        <f t="shared" si="6"/>
      </c>
      <c r="K49" s="1">
        <f t="shared" si="7"/>
      </c>
      <c r="M49" s="7"/>
      <c r="N49" s="8" t="s">
        <v>18</v>
      </c>
      <c r="O49" s="8" t="s">
        <v>19</v>
      </c>
      <c r="P49" s="8" t="s">
        <v>20</v>
      </c>
      <c r="Q49" s="8" t="s">
        <v>21</v>
      </c>
      <c r="R49" s="8" t="s">
        <v>22</v>
      </c>
      <c r="S49" s="8" t="s">
        <v>23</v>
      </c>
      <c r="T49" s="8" t="s">
        <v>24</v>
      </c>
      <c r="U49" s="9" t="s">
        <v>25</v>
      </c>
    </row>
    <row r="50" spans="2:23" ht="13.5" thickBot="1">
      <c r="B50" s="10">
        <v>41426</v>
      </c>
      <c r="C50" s="11">
        <v>0.8541666666666666</v>
      </c>
      <c r="D50" s="28" t="s">
        <v>99</v>
      </c>
      <c r="E50" s="13"/>
      <c r="F50" s="14"/>
      <c r="G50" s="12" t="s">
        <v>96</v>
      </c>
      <c r="H50" s="15" t="s">
        <v>64</v>
      </c>
      <c r="I50" s="16" t="s">
        <v>53</v>
      </c>
      <c r="J50" s="1">
        <f t="shared" si="6"/>
      </c>
      <c r="K50" s="1">
        <f t="shared" si="7"/>
      </c>
      <c r="M50" s="17" t="str">
        <f aca="true" t="shared" si="10" ref="M50:U53">BL52</f>
        <v>Italy</v>
      </c>
      <c r="N50" s="18">
        <f t="shared" si="10"/>
        <v>0</v>
      </c>
      <c r="O50" s="18">
        <f t="shared" si="10"/>
        <v>0</v>
      </c>
      <c r="P50" s="18">
        <f t="shared" si="10"/>
        <v>0</v>
      </c>
      <c r="Q50" s="18">
        <f t="shared" si="10"/>
        <v>0</v>
      </c>
      <c r="R50" s="18">
        <f t="shared" si="10"/>
        <v>0</v>
      </c>
      <c r="S50" s="18">
        <f t="shared" si="10"/>
        <v>0</v>
      </c>
      <c r="T50" s="18">
        <f t="shared" si="10"/>
        <v>0</v>
      </c>
      <c r="U50" s="19">
        <f t="shared" si="10"/>
        <v>0</v>
      </c>
      <c r="W50" s="1" t="s">
        <v>72</v>
      </c>
    </row>
    <row r="51" spans="2:31" ht="13.5" thickBot="1">
      <c r="B51" s="10">
        <v>41791</v>
      </c>
      <c r="C51" s="11">
        <v>0.6458333333333334</v>
      </c>
      <c r="D51" s="28" t="s">
        <v>100</v>
      </c>
      <c r="E51" s="13"/>
      <c r="F51" s="14"/>
      <c r="G51" s="12" t="s">
        <v>101</v>
      </c>
      <c r="H51" s="15" t="s">
        <v>65</v>
      </c>
      <c r="I51" s="16" t="s">
        <v>54</v>
      </c>
      <c r="J51" s="1">
        <f>IF(E51&lt;&gt;"",IF(E51&gt;F51,D51,IF(F51&gt;E51,G51,"Draw")),"")</f>
      </c>
      <c r="K51" s="1">
        <f>IF(E51&lt;&gt;"",IF(E51&lt;F51,D51,IF(F51&lt;E51,G51,"Draw")),"")</f>
      </c>
      <c r="M51" s="17" t="str">
        <f t="shared" si="10"/>
        <v>Ecuador</v>
      </c>
      <c r="N51" s="18">
        <f t="shared" si="10"/>
        <v>0</v>
      </c>
      <c r="O51" s="18">
        <f t="shared" si="10"/>
        <v>0</v>
      </c>
      <c r="P51" s="18">
        <f t="shared" si="10"/>
        <v>0</v>
      </c>
      <c r="Q51" s="18">
        <f t="shared" si="10"/>
        <v>0</v>
      </c>
      <c r="R51" s="18">
        <f t="shared" si="10"/>
        <v>0</v>
      </c>
      <c r="S51" s="18">
        <f t="shared" si="10"/>
        <v>0</v>
      </c>
      <c r="T51" s="18">
        <f t="shared" si="10"/>
        <v>0</v>
      </c>
      <c r="U51" s="19">
        <f t="shared" si="10"/>
        <v>0</v>
      </c>
      <c r="X51" s="1" t="s">
        <v>27</v>
      </c>
      <c r="Y51" s="1" t="s">
        <v>19</v>
      </c>
      <c r="Z51" s="1" t="s">
        <v>20</v>
      </c>
      <c r="AA51" s="1" t="s">
        <v>21</v>
      </c>
      <c r="AB51" s="1" t="s">
        <v>22</v>
      </c>
      <c r="AC51" s="1" t="s">
        <v>23</v>
      </c>
      <c r="AD51" s="1" t="s">
        <v>24</v>
      </c>
      <c r="AE51" s="1" t="s">
        <v>28</v>
      </c>
    </row>
    <row r="52" spans="2:72" ht="13.5" thickBot="1">
      <c r="B52" s="10">
        <v>41791</v>
      </c>
      <c r="C52" s="11">
        <v>0.6458333333333334</v>
      </c>
      <c r="D52" s="28" t="s">
        <v>102</v>
      </c>
      <c r="E52" s="13"/>
      <c r="F52" s="14"/>
      <c r="G52" s="12" t="s">
        <v>55</v>
      </c>
      <c r="H52" s="15" t="s">
        <v>66</v>
      </c>
      <c r="I52" s="16" t="s">
        <v>54</v>
      </c>
      <c r="J52" s="1">
        <f>IF(E52&lt;&gt;"",IF(E52&gt;F52,D52,IF(F52&gt;E52,G52,"Draw")),"")</f>
      </c>
      <c r="K52" s="1">
        <f>IF(E52&lt;&gt;"",IF(E52&lt;F52,D52,IF(F52&lt;E52,G52,"Draw")),"")</f>
      </c>
      <c r="M52" s="17" t="str">
        <f t="shared" si="10"/>
        <v>Croatia</v>
      </c>
      <c r="N52" s="18">
        <f t="shared" si="10"/>
        <v>0</v>
      </c>
      <c r="O52" s="18">
        <f t="shared" si="10"/>
        <v>0</v>
      </c>
      <c r="P52" s="18">
        <f t="shared" si="10"/>
        <v>0</v>
      </c>
      <c r="Q52" s="18">
        <f t="shared" si="10"/>
        <v>0</v>
      </c>
      <c r="R52" s="18">
        <f t="shared" si="10"/>
        <v>0</v>
      </c>
      <c r="S52" s="18">
        <f t="shared" si="10"/>
        <v>0</v>
      </c>
      <c r="T52" s="18">
        <f t="shared" si="10"/>
        <v>0</v>
      </c>
      <c r="U52" s="19">
        <f t="shared" si="10"/>
        <v>0</v>
      </c>
      <c r="W52" s="1" t="s">
        <v>96</v>
      </c>
      <c r="X52" s="1">
        <f>COUNT(Italy_Played)</f>
        <v>0</v>
      </c>
      <c r="Y52" s="1">
        <f>COUNTIF(Groupstage_Winners,"Italy")</f>
        <v>0</v>
      </c>
      <c r="Z52" s="1">
        <f>COUNTIF(Groupstage_Losers,"Italy")</f>
        <v>0</v>
      </c>
      <c r="AA52" s="1">
        <f>X52-(Y52+Z52)</f>
        <v>0</v>
      </c>
      <c r="AB52" s="1">
        <f>SUM(Italy_Played)</f>
        <v>0</v>
      </c>
      <c r="AC52" s="1">
        <f>SUM(Italy_Against)</f>
        <v>0</v>
      </c>
      <c r="AD52" s="1">
        <f>AB52-AC52</f>
        <v>0</v>
      </c>
      <c r="AE52" s="1">
        <f>Y52*Winpoints+AA52*Drawpoints</f>
        <v>0</v>
      </c>
      <c r="AF52" s="1" t="str">
        <f>IF($AE52&gt;=$AE53,$W52,$W53)</f>
        <v>Italy</v>
      </c>
      <c r="AG52" s="1">
        <f>VLOOKUP($AF52,$W52:$AE55,9,FALSE)</f>
        <v>0</v>
      </c>
      <c r="AH52" s="1" t="str">
        <f>IF($AG52&gt;=$AG54,$AF52,$AF54)</f>
        <v>Italy</v>
      </c>
      <c r="AI52" s="1">
        <f>VLOOKUP($AH52,$W52:$AE55,9,FALSE)</f>
        <v>0</v>
      </c>
      <c r="AJ52" s="1" t="str">
        <f>IF($AI52&gt;=$AI55,$AH52,$AH55)</f>
        <v>Italy</v>
      </c>
      <c r="AK52" s="1">
        <f>VLOOKUP($AJ52,$W52:$AE55,9,FALSE)</f>
        <v>0</v>
      </c>
      <c r="AL52" s="1">
        <f>VLOOKUP($AJ52,$W52:$AE55,8,FALSE)</f>
        <v>0</v>
      </c>
      <c r="AM52" s="1" t="str">
        <f>IF(AND($AK52=$AK53,$AL53&gt;$AL52),$AJ53,$AJ52)</f>
        <v>Italy</v>
      </c>
      <c r="AN52" s="1">
        <f>VLOOKUP($AM52,$W52:$AE55,9,FALSE)</f>
        <v>0</v>
      </c>
      <c r="AO52" s="1">
        <f>VLOOKUP($AM52,$W52:$AE55,8,FALSE)</f>
        <v>0</v>
      </c>
      <c r="AP52" s="1" t="str">
        <f>IF(AND($AN52=$AN54,$AO54&gt;$AO52),$AM54,$AM52)</f>
        <v>Italy</v>
      </c>
      <c r="AQ52" s="1">
        <f>VLOOKUP($AP52,$W52:$AE55,9,FALSE)</f>
        <v>0</v>
      </c>
      <c r="AR52" s="1">
        <f>VLOOKUP($AP52,$W52:$AE55,8,FALSE)</f>
        <v>0</v>
      </c>
      <c r="AS52" s="1" t="str">
        <f>IF(AND($AQ52=$AQ55,$AR55&gt;$AR52),$AP55,$AP52)</f>
        <v>Italy</v>
      </c>
      <c r="AT52" s="1">
        <f>VLOOKUP($AS52,$W52:$AE55,9,FALSE)</f>
        <v>0</v>
      </c>
      <c r="AU52" s="1">
        <f>VLOOKUP($AS52,$W52:$AE55,8,FALSE)</f>
        <v>0</v>
      </c>
      <c r="AV52" s="1">
        <f>VLOOKUP($AS52,$W52:$AE55,6,FALSE)</f>
        <v>0</v>
      </c>
      <c r="AW52" s="1" t="str">
        <f>IF(AND($AT52=$AT53,$AU52=$AU53,$AV53&gt;$AV52),$AS53,$AS52)</f>
        <v>Italy</v>
      </c>
      <c r="AX52" s="1">
        <f>VLOOKUP($AW52,$W52:$AE55,9,FALSE)</f>
        <v>0</v>
      </c>
      <c r="AY52" s="1">
        <f>VLOOKUP($AW52,$W52:$AE55,8,FALSE)</f>
        <v>0</v>
      </c>
      <c r="AZ52" s="1">
        <f>VLOOKUP($AW52,$W52:$AE55,6,FALSE)</f>
        <v>0</v>
      </c>
      <c r="BA52" s="1" t="str">
        <f>IF(AND($AX52=$AX54,$AY52=$AY54,$AZ54&gt;$AZ52),$AW54,$AW52)</f>
        <v>Italy</v>
      </c>
      <c r="BB52" s="1">
        <f>VLOOKUP($BA52,$W52:$AE55,9,FALSE)</f>
        <v>0</v>
      </c>
      <c r="BC52" s="1">
        <f>VLOOKUP($BA52,$W52:$AE55,8,FALSE)</f>
        <v>0</v>
      </c>
      <c r="BD52" s="1">
        <f>VLOOKUP($BA52,$W52:$AE55,6,FALSE)</f>
        <v>0</v>
      </c>
      <c r="BE52" s="1" t="str">
        <f>IF(AND($BB52=$BB55,$BC52=$BC55,$BD55&gt;$BD52),$BA55,$BA52)</f>
        <v>Italy</v>
      </c>
      <c r="BF52" s="1">
        <f>VLOOKUP($BE52,$W52:$AE55,9,FALSE)</f>
        <v>0</v>
      </c>
      <c r="BG52" s="1">
        <f>VLOOKUP($BE52,$W52:$AE55,8,FALSE)</f>
        <v>0</v>
      </c>
      <c r="BH52" s="1">
        <f>VLOOKUP($BE52,$W52:$AE55,6,FALSE)</f>
        <v>0</v>
      </c>
      <c r="BL52" s="1" t="str">
        <f>BE52</f>
        <v>Italy</v>
      </c>
      <c r="BM52" s="1">
        <f>VLOOKUP($BL52,$W52:$AE55,2,FALSE)</f>
        <v>0</v>
      </c>
      <c r="BN52" s="1">
        <f>VLOOKUP($BL52,$W52:$AE55,3,FALSE)</f>
        <v>0</v>
      </c>
      <c r="BO52" s="1">
        <f>VLOOKUP($BL52,$W52:$AE55,4,FALSE)</f>
        <v>0</v>
      </c>
      <c r="BP52" s="1">
        <f>VLOOKUP($BL52,$W52:$AE55,5,FALSE)</f>
        <v>0</v>
      </c>
      <c r="BQ52" s="1">
        <f>VLOOKUP($BL52,$W52:$AE55,6,FALSE)</f>
        <v>0</v>
      </c>
      <c r="BR52" s="1">
        <f>VLOOKUP($BL52,$W52:$AE55,7,FALSE)</f>
        <v>0</v>
      </c>
      <c r="BS52" s="1">
        <f>VLOOKUP($BL52,$W52:$AE55,8,FALSE)</f>
        <v>0</v>
      </c>
      <c r="BT52" s="1">
        <f>VLOOKUP($BL52,$W52:$AE55,9,FALSE)</f>
        <v>0</v>
      </c>
    </row>
    <row r="53" spans="2:72" ht="13.5" thickBot="1">
      <c r="B53" s="10">
        <v>41791</v>
      </c>
      <c r="C53" s="11">
        <v>0.8541666666666666</v>
      </c>
      <c r="D53" s="28" t="s">
        <v>85</v>
      </c>
      <c r="E53" s="13"/>
      <c r="F53" s="14"/>
      <c r="G53" s="12" t="s">
        <v>86</v>
      </c>
      <c r="H53" s="15" t="s">
        <v>67</v>
      </c>
      <c r="I53" s="16" t="s">
        <v>21</v>
      </c>
      <c r="J53" s="1">
        <f>IF(E53&lt;&gt;"",IF(E53&gt;F53,D53,IF(F53&gt;E53,G53,"Draw")),"")</f>
      </c>
      <c r="K53" s="1">
        <f>IF(E53&lt;&gt;"",IF(E53&lt;F53,D53,IF(F53&lt;E53,G53,"Draw")),"")</f>
      </c>
      <c r="M53" s="20" t="str">
        <f t="shared" si="10"/>
        <v>Mexico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2">
        <f t="shared" si="10"/>
        <v>0</v>
      </c>
      <c r="W53" s="1" t="s">
        <v>97</v>
      </c>
      <c r="X53" s="1">
        <f>COUNT(Ecuador_Played)</f>
        <v>0</v>
      </c>
      <c r="Y53" s="1">
        <f>COUNTIF(Groupstage_Winners,"Ecuador")</f>
        <v>0</v>
      </c>
      <c r="Z53" s="1">
        <f>COUNTIF(Groupstage_Losers,"Ecuador")</f>
        <v>0</v>
      </c>
      <c r="AA53" s="1">
        <f>X53-(Y53+Z53)</f>
        <v>0</v>
      </c>
      <c r="AB53" s="1">
        <f>SUM(Ecuador_Played)</f>
        <v>0</v>
      </c>
      <c r="AC53" s="1">
        <f>SUM(Ecuador_Against)</f>
        <v>0</v>
      </c>
      <c r="AD53" s="1">
        <f>AB53-AC53</f>
        <v>0</v>
      </c>
      <c r="AE53" s="1">
        <f>Y53*Winpoints+AA53*Drawpoints</f>
        <v>0</v>
      </c>
      <c r="AF53" s="1" t="str">
        <f>IF($AE53&lt;=$AE52,$W53,$W52)</f>
        <v>Ecuador</v>
      </c>
      <c r="AG53" s="1">
        <f>VLOOKUP($AF53,$W52:$AE55,9,FALSE)</f>
        <v>0</v>
      </c>
      <c r="AH53" s="1" t="str">
        <f>IF(AG53&gt;=AG55,AF53,AF55)</f>
        <v>Ecuador</v>
      </c>
      <c r="AI53" s="1">
        <f>VLOOKUP($AH53,$W52:$AE55,9,FALSE)</f>
        <v>0</v>
      </c>
      <c r="AJ53" s="1" t="str">
        <f>IF($AI53&gt;=$AI54,$AH53,$AH54)</f>
        <v>Ecuador</v>
      </c>
      <c r="AK53" s="1">
        <f>VLOOKUP($AJ53,$W52:$AE55,9,FALSE)</f>
        <v>0</v>
      </c>
      <c r="AL53" s="1">
        <f>VLOOKUP($AJ53,$W52:$AE55,8,FALSE)</f>
        <v>0</v>
      </c>
      <c r="AM53" s="1" t="str">
        <f>IF(AND($AK52=$AK53,$AL53&gt;$AL52),$AJ52,$AJ53)</f>
        <v>Ecuador</v>
      </c>
      <c r="AN53" s="1">
        <f>VLOOKUP($AM53,$W52:$AE55,9,FALSE)</f>
        <v>0</v>
      </c>
      <c r="AO53" s="1">
        <f>VLOOKUP($AM53,$W52:$AE55,8,FALSE)</f>
        <v>0</v>
      </c>
      <c r="AP53" s="1" t="str">
        <f>IF(AND($AN53=$AN55,$AO55&gt;$AO53),$AM55,$AM53)</f>
        <v>Ecuador</v>
      </c>
      <c r="AQ53" s="1">
        <f>VLOOKUP($AP53,$W52:$AE55,9,FALSE)</f>
        <v>0</v>
      </c>
      <c r="AR53" s="1">
        <f>VLOOKUP($AP53,$W52:$AE55,8,FALSE)</f>
        <v>0</v>
      </c>
      <c r="AS53" s="1" t="str">
        <f>IF(AND($AQ53=$AQ54,$AR54&gt;$AR53),$AP54,$AP53)</f>
        <v>Ecuador</v>
      </c>
      <c r="AT53" s="1">
        <f>VLOOKUP($AS53,$W52:$AE55,9,FALSE)</f>
        <v>0</v>
      </c>
      <c r="AU53" s="1">
        <f>VLOOKUP($AS53,$W52:$AE55,8,FALSE)</f>
        <v>0</v>
      </c>
      <c r="AV53" s="1">
        <f>VLOOKUP($AS53,$W52:$AE55,6,FALSE)</f>
        <v>0</v>
      </c>
      <c r="AW53" s="1" t="str">
        <f>IF(AND($AT52=$AT53,$AU52=$AU53,$AV53&gt;$AV52),$AS52,$AS53)</f>
        <v>Ecuador</v>
      </c>
      <c r="AX53" s="1">
        <f>VLOOKUP($AW53,$W52:$AE55,9,FALSE)</f>
        <v>0</v>
      </c>
      <c r="AY53" s="1">
        <f>VLOOKUP($AW53,$W52:$AE55,8,FALSE)</f>
        <v>0</v>
      </c>
      <c r="AZ53" s="1">
        <f>VLOOKUP($AW53,$W52:$AE55,6,FALSE)</f>
        <v>0</v>
      </c>
      <c r="BA53" s="1" t="str">
        <f>IF(AND($AX53=$AX55,$AY53=$AY55,$AZ55&gt;$AZ53),$AW55,$AW53)</f>
        <v>Ecuador</v>
      </c>
      <c r="BB53" s="1">
        <f>VLOOKUP($BA53,$W52:$AE55,9,FALSE)</f>
        <v>0</v>
      </c>
      <c r="BC53" s="1">
        <f>VLOOKUP($BA53,$W52:$AE55,8,FALSE)</f>
        <v>0</v>
      </c>
      <c r="BD53" s="1">
        <f>VLOOKUP($BA53,$W52:$AE55,6,FALSE)</f>
        <v>0</v>
      </c>
      <c r="BE53" s="1" t="str">
        <f>IF(AND($BB53=$BB54,$BC53=$BC54,$BD54&gt;$BD53),$BA54,$BA53)</f>
        <v>Ecuador</v>
      </c>
      <c r="BF53" s="1">
        <f>VLOOKUP($BE53,$W52:$AE55,9,FALSE)</f>
        <v>0</v>
      </c>
      <c r="BG53" s="1">
        <f>VLOOKUP($BE53,$W52:$AE55,8,FALSE)</f>
        <v>0</v>
      </c>
      <c r="BH53" s="1">
        <f>VLOOKUP($BE53,$W52:$AE55,6,FALSE)</f>
        <v>0</v>
      </c>
      <c r="BL53" s="1" t="str">
        <f>BE53</f>
        <v>Ecuador</v>
      </c>
      <c r="BM53" s="1">
        <f>VLOOKUP($BL53,$W52:$AE55,2,FALSE)</f>
        <v>0</v>
      </c>
      <c r="BN53" s="1">
        <f>VLOOKUP($BL53,$W52:$AE55,3,FALSE)</f>
        <v>0</v>
      </c>
      <c r="BO53" s="1">
        <f>VLOOKUP($BL53,$W52:$AE55,4,FALSE)</f>
        <v>0</v>
      </c>
      <c r="BP53" s="1">
        <f>VLOOKUP($BL53,$W52:$AE55,5,FALSE)</f>
        <v>0</v>
      </c>
      <c r="BQ53" s="1">
        <f>VLOOKUP($BL53,$W52:$AE55,6,FALSE)</f>
        <v>0</v>
      </c>
      <c r="BR53" s="1">
        <f>VLOOKUP($BL53,$W52:$AE55,7,FALSE)</f>
        <v>0</v>
      </c>
      <c r="BS53" s="1">
        <f>VLOOKUP($BL53,$W52:$AE55,8,FALSE)</f>
        <v>0</v>
      </c>
      <c r="BT53" s="1">
        <f>VLOOKUP($BL53,$W52:$AE55,9,FALSE)</f>
        <v>0</v>
      </c>
    </row>
    <row r="54" spans="2:72" ht="13.5" thickBot="1">
      <c r="B54" s="10">
        <v>41791</v>
      </c>
      <c r="C54" s="11">
        <v>0.8541666666666666</v>
      </c>
      <c r="D54" s="28" t="s">
        <v>87</v>
      </c>
      <c r="E54" s="13"/>
      <c r="F54" s="14"/>
      <c r="G54" s="12" t="s">
        <v>52</v>
      </c>
      <c r="H54" s="15" t="s">
        <v>61</v>
      </c>
      <c r="I54" s="16" t="s">
        <v>21</v>
      </c>
      <c r="J54" s="1">
        <f>IF(E54&lt;&gt;"",IF(E54&gt;F54,D54,IF(F54&gt;E54,G54,"Draw")),"")</f>
      </c>
      <c r="K54" s="1">
        <f>IF(E54&lt;&gt;"",IF(E54&lt;F54,D54,IF(F54&lt;E54,G54,"Draw")),"")</f>
      </c>
      <c r="W54" s="1" t="s">
        <v>98</v>
      </c>
      <c r="X54" s="1">
        <f>COUNT(Croatia_Played)</f>
        <v>0</v>
      </c>
      <c r="Y54" s="1">
        <f>COUNTIF(Groupstage_Winners,"Croatia")</f>
        <v>0</v>
      </c>
      <c r="Z54" s="1">
        <f>COUNTIF(Groupstage_Losers,"Croatia")</f>
        <v>0</v>
      </c>
      <c r="AA54" s="1">
        <f>X54-(Y54+Z54)</f>
        <v>0</v>
      </c>
      <c r="AB54" s="1">
        <f>SUM(Croatia_Played)</f>
        <v>0</v>
      </c>
      <c r="AC54" s="1">
        <f>SUM(Croatia_Against)</f>
        <v>0</v>
      </c>
      <c r="AD54" s="1">
        <f>AB54-AC54</f>
        <v>0</v>
      </c>
      <c r="AE54" s="1">
        <f>Y54*Winpoints+AA54*Drawpoints</f>
        <v>0</v>
      </c>
      <c r="AF54" s="1" t="str">
        <f>IF($AE54&gt;=$AE55,$W54,$W55)</f>
        <v>Croatia</v>
      </c>
      <c r="AG54" s="1">
        <f>VLOOKUP($AF54,$W52:$AE55,9,FALSE)</f>
        <v>0</v>
      </c>
      <c r="AH54" s="1" t="str">
        <f>IF($AG54&lt;=$AG52,$AF54,$AF52)</f>
        <v>Croatia</v>
      </c>
      <c r="AI54" s="1">
        <f>VLOOKUP($AH54,$W52:$AE55,9,FALSE)</f>
        <v>0</v>
      </c>
      <c r="AJ54" s="1" t="str">
        <f>IF($AI54&lt;=$AI53,$AH54,$AH53)</f>
        <v>Croatia</v>
      </c>
      <c r="AK54" s="1">
        <f>VLOOKUP($AJ54,$W52:$AE55,9,FALSE)</f>
        <v>0</v>
      </c>
      <c r="AL54" s="1">
        <f>VLOOKUP($AJ54,$W52:$AE55,8,FALSE)</f>
        <v>0</v>
      </c>
      <c r="AM54" s="1" t="str">
        <f>IF(AND($AK54=$AK55,$AL55&gt;$AL54),$AJ55,$AJ54)</f>
        <v>Croatia</v>
      </c>
      <c r="AN54" s="1">
        <f>VLOOKUP($AM54,$W52:$AE55,9,FALSE)</f>
        <v>0</v>
      </c>
      <c r="AO54" s="1">
        <f>VLOOKUP($AM54,$W52:$AE55,8,FALSE)</f>
        <v>0</v>
      </c>
      <c r="AP54" s="1" t="str">
        <f>IF(AND($AN52=$AN54,$AO54&gt;$AO52),$AM52,$AM54)</f>
        <v>Croatia</v>
      </c>
      <c r="AQ54" s="1">
        <f>VLOOKUP($AP54,$W52:$AE55,9,FALSE)</f>
        <v>0</v>
      </c>
      <c r="AR54" s="1">
        <f>VLOOKUP($AP54,$W52:$AE55,8,FALSE)</f>
        <v>0</v>
      </c>
      <c r="AS54" s="1" t="str">
        <f>IF(AND($AQ53=$AQ54,$AR54&gt;$AR53),$AP53,$AP54)</f>
        <v>Croatia</v>
      </c>
      <c r="AT54" s="1">
        <f>VLOOKUP($AS54,$W52:$AE55,9,FALSE)</f>
        <v>0</v>
      </c>
      <c r="AU54" s="1">
        <f>VLOOKUP($AS54,$W52:$AE55,8,FALSE)</f>
        <v>0</v>
      </c>
      <c r="AV54" s="1">
        <f>VLOOKUP($AS54,$W52:$AE55,6,FALSE)</f>
        <v>0</v>
      </c>
      <c r="AW54" s="1" t="str">
        <f>IF(AND($AT54=$AT55,$AU54=$AU55,$AV55&gt;$AV54),$AS55,$AS54)</f>
        <v>Croatia</v>
      </c>
      <c r="AX54" s="1">
        <f>VLOOKUP($AW54,$W52:$AE55,9,FALSE)</f>
        <v>0</v>
      </c>
      <c r="AY54" s="1">
        <f>VLOOKUP($AW54,$W52:$AE55,8,FALSE)</f>
        <v>0</v>
      </c>
      <c r="AZ54" s="1">
        <f>VLOOKUP($AW54,$W52:$AE55,6,FALSE)</f>
        <v>0</v>
      </c>
      <c r="BA54" s="1" t="str">
        <f>IF(AND($AX52=$AX54,$AY52=$AY54,$AZ53&gt;$AZ52),$AW52,$AW54)</f>
        <v>Croatia</v>
      </c>
      <c r="BB54" s="1">
        <f>VLOOKUP($BA54,$W52:$AE55,9,FALSE)</f>
        <v>0</v>
      </c>
      <c r="BC54" s="1">
        <f>VLOOKUP($BA54,$W52:$AE55,8,FALSE)</f>
        <v>0</v>
      </c>
      <c r="BD54" s="1">
        <f>VLOOKUP($BA54,$W52:$AE55,6,FALSE)</f>
        <v>0</v>
      </c>
      <c r="BE54" s="1" t="str">
        <f>IF(AND($BB53=$BB54,$BC53=$BC54,$BD54&gt;$BD53),$BA53,$BA54)</f>
        <v>Croatia</v>
      </c>
      <c r="BF54" s="1">
        <f>VLOOKUP($BE54,$W52:$AE55,9,FALSE)</f>
        <v>0</v>
      </c>
      <c r="BG54" s="1">
        <f>VLOOKUP($BE54,$W52:$AE55,8,FALSE)</f>
        <v>0</v>
      </c>
      <c r="BH54" s="1">
        <f>VLOOKUP($BE54,$W52:$AE55,6,FALSE)</f>
        <v>0</v>
      </c>
      <c r="BL54" s="1" t="str">
        <f>BE54</f>
        <v>Croatia</v>
      </c>
      <c r="BM54" s="1">
        <f>VLOOKUP($BL54,$W52:$AE55,2,FALSE)</f>
        <v>0</v>
      </c>
      <c r="BN54" s="1">
        <f>VLOOKUP($BL54,$W52:$AE55,3,FALSE)</f>
        <v>0</v>
      </c>
      <c r="BO54" s="1">
        <f>VLOOKUP($BL54,$W52:$AE55,4,FALSE)</f>
        <v>0</v>
      </c>
      <c r="BP54" s="1">
        <f>VLOOKUP($BL54,$W52:$AE55,5,FALSE)</f>
        <v>0</v>
      </c>
      <c r="BQ54" s="1">
        <f>VLOOKUP($BL54,$W52:$AE55,6,FALSE)</f>
        <v>0</v>
      </c>
      <c r="BR54" s="1">
        <f>VLOOKUP($BL54,$W52:$AE55,7,FALSE)</f>
        <v>0</v>
      </c>
      <c r="BS54" s="1">
        <f>VLOOKUP($BL54,$W52:$AE55,8,FALSE)</f>
        <v>0</v>
      </c>
      <c r="BT54" s="1">
        <f>VLOOKUP($BL54,$W52:$AE55,9,FALSE)</f>
        <v>0</v>
      </c>
    </row>
    <row r="55" spans="13:72" ht="15">
      <c r="M55" s="2" t="s">
        <v>73</v>
      </c>
      <c r="N55" s="3"/>
      <c r="O55" s="3"/>
      <c r="P55" s="3"/>
      <c r="Q55" s="3"/>
      <c r="R55" s="3"/>
      <c r="S55" s="3"/>
      <c r="T55" s="3"/>
      <c r="U55" s="4"/>
      <c r="W55" s="1" t="s">
        <v>99</v>
      </c>
      <c r="X55" s="1">
        <f>COUNT(Mexico_Played)</f>
        <v>0</v>
      </c>
      <c r="Y55" s="1">
        <f>COUNTIF(Groupstage_Winners,"Mexico")</f>
        <v>0</v>
      </c>
      <c r="Z55" s="1">
        <f>COUNTIF(Groupstage_Losers,"Mexico")</f>
        <v>0</v>
      </c>
      <c r="AA55" s="1">
        <f>X55-(Y55+Z55)</f>
        <v>0</v>
      </c>
      <c r="AB55" s="1">
        <f>SUM(Mexico_Played)</f>
        <v>0</v>
      </c>
      <c r="AC55" s="1">
        <f>SUM(Mexico_Against)</f>
        <v>0</v>
      </c>
      <c r="AD55" s="1">
        <f>AB55-AC55</f>
        <v>0</v>
      </c>
      <c r="AE55" s="1">
        <f>Y55*Winpoints+AA55*Drawpoints</f>
        <v>0</v>
      </c>
      <c r="AF55" s="1" t="str">
        <f>IF($AE55&lt;=$AE54,$W55,$W54)</f>
        <v>Mexico</v>
      </c>
      <c r="AG55" s="1">
        <f>VLOOKUP($AF55,$W52:$AE55,9,FALSE)</f>
        <v>0</v>
      </c>
      <c r="AH55" s="1" t="str">
        <f>IF(AG55&lt;=AG53,AF55,AF53)</f>
        <v>Mexico</v>
      </c>
      <c r="AI55" s="1">
        <f>VLOOKUP($AH55,$W52:$AE55,9,FALSE)</f>
        <v>0</v>
      </c>
      <c r="AJ55" s="1" t="str">
        <f>IF($AI55&lt;=$AI52,$AH55,$AH52)</f>
        <v>Mexico</v>
      </c>
      <c r="AK55" s="1">
        <f>VLOOKUP($AJ55,$W52:$AE55,9,FALSE)</f>
        <v>0</v>
      </c>
      <c r="AL55" s="1">
        <f>VLOOKUP($AJ55,$W52:$AE55,8,FALSE)</f>
        <v>0</v>
      </c>
      <c r="AM55" s="1" t="str">
        <f>IF(AND($AK54=$AK55,$AL55&gt;$AL54),$AJ54,$AJ55)</f>
        <v>Mexico</v>
      </c>
      <c r="AN55" s="1">
        <f>VLOOKUP($AM55,$W52:$AE55,9,FALSE)</f>
        <v>0</v>
      </c>
      <c r="AO55" s="1">
        <f>VLOOKUP($AM55,$W52:$AE55,8,FALSE)</f>
        <v>0</v>
      </c>
      <c r="AP55" s="1" t="str">
        <f>IF(AND($AN53=$AN55,$AO55&gt;$AO53),$AM53,$AM55)</f>
        <v>Mexico</v>
      </c>
      <c r="AQ55" s="1">
        <f>VLOOKUP($AP55,$W52:$AE55,9,FALSE)</f>
        <v>0</v>
      </c>
      <c r="AR55" s="1">
        <f>VLOOKUP($AP55,$W52:$AE55,8,FALSE)</f>
        <v>0</v>
      </c>
      <c r="AS55" s="1" t="str">
        <f>IF(AND($AQ52=$AQ55,$AR55&gt;$AR52),$AP52,$AP55)</f>
        <v>Mexico</v>
      </c>
      <c r="AT55" s="1">
        <f>VLOOKUP($AS55,$W52:$AE55,9,FALSE)</f>
        <v>0</v>
      </c>
      <c r="AU55" s="1">
        <f>VLOOKUP($AS55,$W52:$AE55,8,FALSE)</f>
        <v>0</v>
      </c>
      <c r="AV55" s="1">
        <f>VLOOKUP($AS55,$W52:$AE55,6,FALSE)</f>
        <v>0</v>
      </c>
      <c r="AW55" s="1" t="str">
        <f>IF(AND($AT54=$AT55,$AU54=$AU55,$AV55&gt;$AV54),$AS54,$AS55)</f>
        <v>Mexico</v>
      </c>
      <c r="AX55" s="1">
        <f>VLOOKUP($AW55,$W52:$AE55,9,FALSE)</f>
        <v>0</v>
      </c>
      <c r="AY55" s="1">
        <f>VLOOKUP($AW55,$W52:$AE55,8,FALSE)</f>
        <v>0</v>
      </c>
      <c r="AZ55" s="1">
        <f>VLOOKUP($AW55,$W52:$AE55,6,FALSE)</f>
        <v>0</v>
      </c>
      <c r="BA55" s="1" t="str">
        <f>IF(AND($AX53=$AX55,$AY53=$AY55,$AZ55&gt;$AZ53),$AW53,$AW55)</f>
        <v>Mexico</v>
      </c>
      <c r="BB55" s="1">
        <f>VLOOKUP($BA55,$W52:$AE55,9,FALSE)</f>
        <v>0</v>
      </c>
      <c r="BC55" s="1">
        <f>VLOOKUP($BA55,$W52:$AE55,8,FALSE)</f>
        <v>0</v>
      </c>
      <c r="BD55" s="1">
        <f>VLOOKUP($BA55,$W52:$AE55,6,FALSE)</f>
        <v>0</v>
      </c>
      <c r="BE55" s="1" t="str">
        <f>IF(AND($BB52=$BB55,$BC52=$BC55,$BD55&gt;$BD52),$BA52,$BA55)</f>
        <v>Mexico</v>
      </c>
      <c r="BF55" s="1">
        <f>VLOOKUP($BE55,$W52:$AE55,9,FALSE)</f>
        <v>0</v>
      </c>
      <c r="BG55" s="1">
        <f>VLOOKUP($BE55,$W52:$AE55,8,FALSE)</f>
        <v>0</v>
      </c>
      <c r="BH55" s="1">
        <f>VLOOKUP($BE55,$W52:$AE55,6,FALSE)</f>
        <v>0</v>
      </c>
      <c r="BL55" s="1" t="str">
        <f>BE55</f>
        <v>Mexico</v>
      </c>
      <c r="BM55" s="1">
        <f>VLOOKUP($BL55,$W52:$AE55,2,FALSE)</f>
        <v>0</v>
      </c>
      <c r="BN55" s="1">
        <f>VLOOKUP($BL55,$W52:$AE55,3,FALSE)</f>
        <v>0</v>
      </c>
      <c r="BO55" s="1">
        <f>VLOOKUP($BL55,$W52:$AE55,4,FALSE)</f>
        <v>0</v>
      </c>
      <c r="BP55" s="1">
        <f>VLOOKUP($BL55,$W52:$AE55,5,FALSE)</f>
        <v>0</v>
      </c>
      <c r="BQ55" s="1">
        <f>VLOOKUP($BL55,$W52:$AE55,6,FALSE)</f>
        <v>0</v>
      </c>
      <c r="BR55" s="1">
        <f>VLOOKUP($BL55,$W52:$AE55,7,FALSE)</f>
        <v>0</v>
      </c>
      <c r="BS55" s="1">
        <f>VLOOKUP($BL55,$W52:$AE55,8,FALSE)</f>
        <v>0</v>
      </c>
      <c r="BT55" s="1">
        <f>VLOOKUP($BL55,$W52:$AE55,9,FALSE)</f>
        <v>0</v>
      </c>
    </row>
    <row r="56" spans="13:21" ht="12.75">
      <c r="M56" s="7"/>
      <c r="N56" s="8" t="s">
        <v>18</v>
      </c>
      <c r="O56" s="8" t="s">
        <v>19</v>
      </c>
      <c r="P56" s="8" t="s">
        <v>20</v>
      </c>
      <c r="Q56" s="8" t="s">
        <v>21</v>
      </c>
      <c r="R56" s="8" t="s">
        <v>22</v>
      </c>
      <c r="S56" s="8" t="s">
        <v>23</v>
      </c>
      <c r="T56" s="8" t="s">
        <v>24</v>
      </c>
      <c r="U56" s="9" t="s">
        <v>25</v>
      </c>
    </row>
    <row r="57" spans="2:23" ht="15">
      <c r="B57" s="30" t="s">
        <v>68</v>
      </c>
      <c r="C57" s="31"/>
      <c r="D57" s="31"/>
      <c r="E57" s="31"/>
      <c r="F57" s="31"/>
      <c r="G57" s="31"/>
      <c r="H57" s="31"/>
      <c r="I57" s="32"/>
      <c r="M57" s="17" t="str">
        <f aca="true" t="shared" si="11" ref="M57:U60">BL59</f>
        <v>Japan</v>
      </c>
      <c r="N57" s="18">
        <f t="shared" si="11"/>
        <v>0</v>
      </c>
      <c r="O57" s="18">
        <f t="shared" si="11"/>
        <v>0</v>
      </c>
      <c r="P57" s="18">
        <f t="shared" si="11"/>
        <v>0</v>
      </c>
      <c r="Q57" s="18">
        <f t="shared" si="11"/>
        <v>0</v>
      </c>
      <c r="R57" s="18">
        <f t="shared" si="11"/>
        <v>0</v>
      </c>
      <c r="S57" s="18">
        <f t="shared" si="11"/>
        <v>0</v>
      </c>
      <c r="T57" s="18">
        <f t="shared" si="11"/>
        <v>0</v>
      </c>
      <c r="U57" s="19">
        <f t="shared" si="11"/>
        <v>0</v>
      </c>
      <c r="W57" s="1" t="s">
        <v>73</v>
      </c>
    </row>
    <row r="58" spans="2:31" ht="15">
      <c r="B58" s="34" t="s">
        <v>14</v>
      </c>
      <c r="C58" s="35" t="s">
        <v>15</v>
      </c>
      <c r="D58" s="36"/>
      <c r="E58" s="36"/>
      <c r="F58" s="36"/>
      <c r="G58" s="36"/>
      <c r="H58" s="36" t="s">
        <v>16</v>
      </c>
      <c r="I58" s="37"/>
      <c r="M58" s="17" t="str">
        <f t="shared" si="11"/>
        <v>Belgium</v>
      </c>
      <c r="N58" s="18">
        <f t="shared" si="11"/>
        <v>0</v>
      </c>
      <c r="O58" s="18">
        <f t="shared" si="11"/>
        <v>0</v>
      </c>
      <c r="P58" s="18">
        <f t="shared" si="11"/>
        <v>0</v>
      </c>
      <c r="Q58" s="18">
        <f t="shared" si="11"/>
        <v>0</v>
      </c>
      <c r="R58" s="18">
        <f t="shared" si="11"/>
        <v>0</v>
      </c>
      <c r="S58" s="18">
        <f t="shared" si="11"/>
        <v>0</v>
      </c>
      <c r="T58" s="18">
        <f t="shared" si="11"/>
        <v>0</v>
      </c>
      <c r="U58" s="19">
        <f t="shared" si="11"/>
        <v>0</v>
      </c>
      <c r="X58" s="1" t="s">
        <v>27</v>
      </c>
      <c r="Y58" s="1" t="s">
        <v>19</v>
      </c>
      <c r="Z58" s="1" t="s">
        <v>20</v>
      </c>
      <c r="AA58" s="1" t="s">
        <v>21</v>
      </c>
      <c r="AB58" s="1" t="s">
        <v>22</v>
      </c>
      <c r="AC58" s="1" t="s">
        <v>23</v>
      </c>
      <c r="AD58" s="1" t="s">
        <v>24</v>
      </c>
      <c r="AE58" s="1" t="s">
        <v>28</v>
      </c>
    </row>
    <row r="59" spans="13:72" ht="13.5" thickBot="1">
      <c r="M59" s="17" t="str">
        <f t="shared" si="11"/>
        <v>Russia</v>
      </c>
      <c r="N59" s="18">
        <f t="shared" si="11"/>
        <v>0</v>
      </c>
      <c r="O59" s="18">
        <f t="shared" si="11"/>
        <v>0</v>
      </c>
      <c r="P59" s="18">
        <f t="shared" si="11"/>
        <v>0</v>
      </c>
      <c r="Q59" s="18">
        <f t="shared" si="11"/>
        <v>0</v>
      </c>
      <c r="R59" s="18">
        <f t="shared" si="11"/>
        <v>0</v>
      </c>
      <c r="S59" s="18">
        <f t="shared" si="11"/>
        <v>0</v>
      </c>
      <c r="T59" s="18">
        <f t="shared" si="11"/>
        <v>0</v>
      </c>
      <c r="U59" s="19">
        <f t="shared" si="11"/>
        <v>0</v>
      </c>
      <c r="W59" s="1" t="s">
        <v>55</v>
      </c>
      <c r="X59" s="1">
        <f>COUNT(Japan_Played)</f>
        <v>0</v>
      </c>
      <c r="Y59" s="1">
        <f>COUNTIF(Groupstage_Winners,"Japan")</f>
        <v>0</v>
      </c>
      <c r="Z59" s="1">
        <f>COUNTIF(Groupstage_Losers,"Japan")</f>
        <v>0</v>
      </c>
      <c r="AA59" s="1">
        <f>X59-(Y59+Z59)</f>
        <v>0</v>
      </c>
      <c r="AB59" s="1">
        <f>SUM(Japan_Played)</f>
        <v>0</v>
      </c>
      <c r="AC59" s="1">
        <f>SUM(Japan_Against)</f>
        <v>0</v>
      </c>
      <c r="AD59" s="1">
        <f>AB59-AC59</f>
        <v>0</v>
      </c>
      <c r="AE59" s="1">
        <f>Y59*Winpoints+AA59*Drawpoints</f>
        <v>0</v>
      </c>
      <c r="AF59" s="1" t="str">
        <f>IF($AE59&gt;=$AE60,$W59,$W60)</f>
        <v>Japan</v>
      </c>
      <c r="AG59" s="1">
        <f>VLOOKUP($AF59,$W59:$AE62,9,FALSE)</f>
        <v>0</v>
      </c>
      <c r="AH59" s="1" t="str">
        <f>IF($AG59&gt;=$AG61,$AF59,$AF61)</f>
        <v>Japan</v>
      </c>
      <c r="AI59" s="1">
        <f>VLOOKUP($AH59,$W59:$AE62,9,FALSE)</f>
        <v>0</v>
      </c>
      <c r="AJ59" s="1" t="str">
        <f>IF($AI59&gt;=$AI62,$AH59,$AH62)</f>
        <v>Japan</v>
      </c>
      <c r="AK59" s="1">
        <f>VLOOKUP($AJ59,$W59:$AE62,9,FALSE)</f>
        <v>0</v>
      </c>
      <c r="AL59" s="1">
        <f>VLOOKUP($AJ59,$W59:$AE62,8,FALSE)</f>
        <v>0</v>
      </c>
      <c r="AM59" s="1" t="str">
        <f>IF(AND($AK59=$AK60,$AL60&gt;$AL59),$AJ60,$AJ59)</f>
        <v>Japan</v>
      </c>
      <c r="AN59" s="1">
        <f>VLOOKUP($AM59,$W59:$AE62,9,FALSE)</f>
        <v>0</v>
      </c>
      <c r="AO59" s="1">
        <f>VLOOKUP($AM59,$W59:$AE62,8,FALSE)</f>
        <v>0</v>
      </c>
      <c r="AP59" s="1" t="str">
        <f>IF(AND($AN59=$AN61,$AO61&gt;$AO59),$AM61,$AM59)</f>
        <v>Japan</v>
      </c>
      <c r="AQ59" s="1">
        <f>VLOOKUP($AP59,$W59:$AE62,9,FALSE)</f>
        <v>0</v>
      </c>
      <c r="AR59" s="1">
        <f>VLOOKUP($AP59,$W59:$AE62,8,FALSE)</f>
        <v>0</v>
      </c>
      <c r="AS59" s="1" t="str">
        <f>IF(AND($AQ59=$AQ62,$AR62&gt;$AR59),$AP62,$AP59)</f>
        <v>Japan</v>
      </c>
      <c r="AT59" s="1">
        <f>VLOOKUP($AS59,$W59:$AE62,9,FALSE)</f>
        <v>0</v>
      </c>
      <c r="AU59" s="1">
        <f>VLOOKUP($AS59,$W59:$AE62,8,FALSE)</f>
        <v>0</v>
      </c>
      <c r="AV59" s="1">
        <f>VLOOKUP($AS59,$W59:$AE62,6,FALSE)</f>
        <v>0</v>
      </c>
      <c r="AW59" s="1" t="str">
        <f>IF(AND($AT59=$AT60,$AU59=$AU60,$AV60&gt;$AV59),$AS60,$AS59)</f>
        <v>Japan</v>
      </c>
      <c r="AX59" s="1">
        <f>VLOOKUP($AW59,$W59:$AE62,9,FALSE)</f>
        <v>0</v>
      </c>
      <c r="AY59" s="1">
        <f>VLOOKUP($AW59,$W59:$AE62,8,FALSE)</f>
        <v>0</v>
      </c>
      <c r="AZ59" s="1">
        <f>VLOOKUP($AW59,$W59:$AE62,6,FALSE)</f>
        <v>0</v>
      </c>
      <c r="BA59" s="1" t="str">
        <f>IF(AND($AX59=$AX61,$AY59=$AY61,$AZ61&gt;$AZ59),$AW61,$AW59)</f>
        <v>Japan</v>
      </c>
      <c r="BB59" s="1">
        <f>VLOOKUP($BA59,$W59:$AE62,9,FALSE)</f>
        <v>0</v>
      </c>
      <c r="BC59" s="1">
        <f>VLOOKUP($BA59,$W59:$AE62,8,FALSE)</f>
        <v>0</v>
      </c>
      <c r="BD59" s="1">
        <f>VLOOKUP($BA59,$W59:$AE62,6,FALSE)</f>
        <v>0</v>
      </c>
      <c r="BE59" s="1" t="str">
        <f>IF(AND($BB59=$BB62,$BC59=$BC62,$BD62&gt;$BD59),$BA62,$BA59)</f>
        <v>Japan</v>
      </c>
      <c r="BF59" s="1">
        <f>VLOOKUP($BE59,$W59:$AE62,9,FALSE)</f>
        <v>0</v>
      </c>
      <c r="BG59" s="1">
        <f>VLOOKUP($BE59,$W59:$AE62,8,FALSE)</f>
        <v>0</v>
      </c>
      <c r="BH59" s="1">
        <f>VLOOKUP($BE59,$W59:$AE62,6,FALSE)</f>
        <v>0</v>
      </c>
      <c r="BL59" s="1" t="str">
        <f>BE59</f>
        <v>Japan</v>
      </c>
      <c r="BM59" s="1">
        <f>VLOOKUP($BL59,$W59:$AE62,2,FALSE)</f>
        <v>0</v>
      </c>
      <c r="BN59" s="1">
        <f>VLOOKUP($BL59,$W59:$AE62,3,FALSE)</f>
        <v>0</v>
      </c>
      <c r="BO59" s="1">
        <f>VLOOKUP($BL59,$W59:$AE62,4,FALSE)</f>
        <v>0</v>
      </c>
      <c r="BP59" s="1">
        <f>VLOOKUP($BL59,$W59:$AE62,5,FALSE)</f>
        <v>0</v>
      </c>
      <c r="BQ59" s="1">
        <f>VLOOKUP($BL59,$W59:$AE62,6,FALSE)</f>
        <v>0</v>
      </c>
      <c r="BR59" s="1">
        <f>VLOOKUP($BL59,$W59:$AE62,7,FALSE)</f>
        <v>0</v>
      </c>
      <c r="BS59" s="1">
        <f>VLOOKUP($BL59,$W59:$AE62,8,FALSE)</f>
        <v>0</v>
      </c>
      <c r="BT59" s="1">
        <f>VLOOKUP($BL59,$W59:$AE62,9,FALSE)</f>
        <v>0</v>
      </c>
    </row>
    <row r="60" spans="2:72" ht="13.5" thickBot="1">
      <c r="B60" s="24">
        <v>42156</v>
      </c>
      <c r="C60" s="25">
        <v>0.6458333333333334</v>
      </c>
      <c r="D60" s="29" t="str">
        <f>IF(N36=3,M36,"Winner E")</f>
        <v>Winner E</v>
      </c>
      <c r="E60" s="13"/>
      <c r="F60" s="14"/>
      <c r="G60" s="23" t="str">
        <f>IF(N14=3,M14,"Runner-Up B")</f>
        <v>Runner-Up B</v>
      </c>
      <c r="H60" s="1" t="s">
        <v>60</v>
      </c>
      <c r="J60" s="1" t="str">
        <f>IF(E60&lt;&gt;"",IF(E60&gt;F60,D60,IF(F60&gt;E60,G60,"Draw")),"Second Rd 1")</f>
        <v>Second Rd 1</v>
      </c>
      <c r="M60" s="20" t="str">
        <f t="shared" si="11"/>
        <v>Tunisia</v>
      </c>
      <c r="N60" s="21">
        <f t="shared" si="11"/>
        <v>0</v>
      </c>
      <c r="O60" s="21">
        <f t="shared" si="11"/>
        <v>0</v>
      </c>
      <c r="P60" s="21">
        <f t="shared" si="11"/>
        <v>0</v>
      </c>
      <c r="Q60" s="21">
        <f t="shared" si="11"/>
        <v>0</v>
      </c>
      <c r="R60" s="21">
        <f t="shared" si="11"/>
        <v>0</v>
      </c>
      <c r="S60" s="21">
        <f t="shared" si="11"/>
        <v>0</v>
      </c>
      <c r="T60" s="21">
        <f t="shared" si="11"/>
        <v>0</v>
      </c>
      <c r="U60" s="22">
        <f t="shared" si="11"/>
        <v>0</v>
      </c>
      <c r="W60" s="1" t="s">
        <v>100</v>
      </c>
      <c r="X60" s="1">
        <f>COUNT(Belgium_Played)</f>
        <v>0</v>
      </c>
      <c r="Y60" s="1">
        <f>COUNTIF(Groupstage_Winners,"Belgium")</f>
        <v>0</v>
      </c>
      <c r="Z60" s="1">
        <f>COUNTIF(Groupstage_Losers,"Belgium")</f>
        <v>0</v>
      </c>
      <c r="AA60" s="1">
        <f>X60-(Y60+Z60)</f>
        <v>0</v>
      </c>
      <c r="AB60" s="1">
        <f>SUM(Belgium_Played)</f>
        <v>0</v>
      </c>
      <c r="AC60" s="1">
        <f>SUM(Belgium_Against)</f>
        <v>0</v>
      </c>
      <c r="AD60" s="1">
        <f>AB60-AC60</f>
        <v>0</v>
      </c>
      <c r="AE60" s="1">
        <f>Y60*Winpoints+AA60*Drawpoints</f>
        <v>0</v>
      </c>
      <c r="AF60" s="1" t="str">
        <f>IF($AE60&lt;=$AE59,$W60,$W59)</f>
        <v>Belgium</v>
      </c>
      <c r="AG60" s="1">
        <f>VLOOKUP($AF60,$W59:$AE62,9,FALSE)</f>
        <v>0</v>
      </c>
      <c r="AH60" s="1" t="str">
        <f>IF(AG60&gt;=AG62,AF60,AF62)</f>
        <v>Belgium</v>
      </c>
      <c r="AI60" s="1">
        <f>VLOOKUP($AH60,$W59:$AE62,9,FALSE)</f>
        <v>0</v>
      </c>
      <c r="AJ60" s="1" t="str">
        <f>IF($AI60&gt;=$AI61,$AH60,$AH61)</f>
        <v>Belgium</v>
      </c>
      <c r="AK60" s="1">
        <f>VLOOKUP($AJ60,$W59:$AE62,9,FALSE)</f>
        <v>0</v>
      </c>
      <c r="AL60" s="1">
        <f>VLOOKUP($AJ60,$W59:$AE62,8,FALSE)</f>
        <v>0</v>
      </c>
      <c r="AM60" s="1" t="str">
        <f>IF(AND($AK59=$AK60,$AL60&gt;$AL59),$AJ59,$AJ60)</f>
        <v>Belgium</v>
      </c>
      <c r="AN60" s="1">
        <f>VLOOKUP($AM60,$W59:$AE62,9,FALSE)</f>
        <v>0</v>
      </c>
      <c r="AO60" s="1">
        <f>VLOOKUP($AM60,$W59:$AE62,8,FALSE)</f>
        <v>0</v>
      </c>
      <c r="AP60" s="1" t="str">
        <f>IF(AND($AN60=$AN62,$AO62&gt;$AO60),$AM62,$AM60)</f>
        <v>Belgium</v>
      </c>
      <c r="AQ60" s="1">
        <f>VLOOKUP($AP60,$W59:$AE62,9,FALSE)</f>
        <v>0</v>
      </c>
      <c r="AR60" s="1">
        <f>VLOOKUP($AP60,$W59:$AE62,8,FALSE)</f>
        <v>0</v>
      </c>
      <c r="AS60" s="1" t="str">
        <f>IF(AND($AQ60=$AQ61,$AR61&gt;$AR60),$AP61,$AP60)</f>
        <v>Belgium</v>
      </c>
      <c r="AT60" s="1">
        <f>VLOOKUP($AS60,$W59:$AE62,9,FALSE)</f>
        <v>0</v>
      </c>
      <c r="AU60" s="1">
        <f>VLOOKUP($AS60,$W59:$AE62,8,FALSE)</f>
        <v>0</v>
      </c>
      <c r="AV60" s="1">
        <f>VLOOKUP($AS60,$W59:$AE62,6,FALSE)</f>
        <v>0</v>
      </c>
      <c r="AW60" s="1" t="str">
        <f>IF(AND($AT59=$AT60,$AU59=$AU60,$AV60&gt;$AV59),$AS59,$AS60)</f>
        <v>Belgium</v>
      </c>
      <c r="AX60" s="1">
        <f>VLOOKUP($AW60,$W59:$AE62,9,FALSE)</f>
        <v>0</v>
      </c>
      <c r="AY60" s="1">
        <f>VLOOKUP($AW60,$W59:$AE62,8,FALSE)</f>
        <v>0</v>
      </c>
      <c r="AZ60" s="1">
        <f>VLOOKUP($AW60,$W59:$AE62,6,FALSE)</f>
        <v>0</v>
      </c>
      <c r="BA60" s="1" t="str">
        <f>IF(AND($AX60=$AX62,$AY60=$AY62,$AZ62&gt;$AZ60),$AW62,$AW60)</f>
        <v>Belgium</v>
      </c>
      <c r="BB60" s="1">
        <f>VLOOKUP($BA60,$W59:$AE62,9,FALSE)</f>
        <v>0</v>
      </c>
      <c r="BC60" s="1">
        <f>VLOOKUP($BA60,$W59:$AE62,8,FALSE)</f>
        <v>0</v>
      </c>
      <c r="BD60" s="1">
        <f>VLOOKUP($BA60,$W59:$AE62,6,FALSE)</f>
        <v>0</v>
      </c>
      <c r="BE60" s="1" t="str">
        <f>IF(AND($BB60=$BB61,$BC60=$BC61,$BD61&gt;$BD60),$BA61,$BA60)</f>
        <v>Belgium</v>
      </c>
      <c r="BF60" s="1">
        <f>VLOOKUP($BE60,$W59:$AE62,9,FALSE)</f>
        <v>0</v>
      </c>
      <c r="BG60" s="1">
        <f>VLOOKUP($BE60,$W59:$AE62,8,FALSE)</f>
        <v>0</v>
      </c>
      <c r="BH60" s="1">
        <f>VLOOKUP($BE60,$W59:$AE62,6,FALSE)</f>
        <v>0</v>
      </c>
      <c r="BL60" s="1" t="str">
        <f>BE60</f>
        <v>Belgium</v>
      </c>
      <c r="BM60" s="1">
        <f>VLOOKUP($BL60,$W59:$AE62,2,FALSE)</f>
        <v>0</v>
      </c>
      <c r="BN60" s="1">
        <f>VLOOKUP($BL60,$W59:$AE62,3,FALSE)</f>
        <v>0</v>
      </c>
      <c r="BO60" s="1">
        <f>VLOOKUP($BL60,$W59:$AE62,4,FALSE)</f>
        <v>0</v>
      </c>
      <c r="BP60" s="1">
        <f>VLOOKUP($BL60,$W59:$AE62,5,FALSE)</f>
        <v>0</v>
      </c>
      <c r="BQ60" s="1">
        <f>VLOOKUP($BL60,$W59:$AE62,6,FALSE)</f>
        <v>0</v>
      </c>
      <c r="BR60" s="1">
        <f>VLOOKUP($BL60,$W59:$AE62,7,FALSE)</f>
        <v>0</v>
      </c>
      <c r="BS60" s="1">
        <f>VLOOKUP($BL60,$W59:$AE62,8,FALSE)</f>
        <v>0</v>
      </c>
      <c r="BT60" s="1">
        <f>VLOOKUP($BL60,$W59:$AE62,9,FALSE)</f>
        <v>0</v>
      </c>
    </row>
    <row r="61" spans="2:72" ht="13.5" thickBot="1">
      <c r="B61" s="24">
        <v>42156</v>
      </c>
      <c r="C61" s="25">
        <v>0.8541666666666666</v>
      </c>
      <c r="D61" s="29" t="str">
        <f>IF(N6=3,M6,"Winner A")</f>
        <v>Winner A</v>
      </c>
      <c r="E61" s="13"/>
      <c r="F61" s="14"/>
      <c r="G61" s="23" t="str">
        <f>IF(N44=3,M44,"Runner-Up F")</f>
        <v>Runner-Up F</v>
      </c>
      <c r="H61" s="1" t="s">
        <v>44</v>
      </c>
      <c r="J61" s="1" t="str">
        <f>IF(E61&lt;&gt;"",IF(E61&gt;F61,D61,IF(F61&gt;E61,G61,"Draw")),"Second Rd 2")</f>
        <v>Second Rd 2</v>
      </c>
      <c r="W61" s="1" t="s">
        <v>101</v>
      </c>
      <c r="X61" s="1">
        <f>COUNT(Russia_Played)</f>
        <v>0</v>
      </c>
      <c r="Y61" s="1">
        <f>COUNTIF(Groupstage_Winners,"Russia")</f>
        <v>0</v>
      </c>
      <c r="Z61" s="1">
        <f>COUNTIF(Groupstage_Losers,"Russia")</f>
        <v>0</v>
      </c>
      <c r="AA61" s="1">
        <f>X61-(Y61+Z61)</f>
        <v>0</v>
      </c>
      <c r="AB61" s="1">
        <f>SUM(Russia_Played)</f>
        <v>0</v>
      </c>
      <c r="AC61" s="1">
        <f>SUM(Russia_Against)</f>
        <v>0</v>
      </c>
      <c r="AD61" s="1">
        <f>AB61-AC61</f>
        <v>0</v>
      </c>
      <c r="AE61" s="1">
        <f>Y61*Winpoints+AA61*Drawpoints</f>
        <v>0</v>
      </c>
      <c r="AF61" s="1" t="str">
        <f>IF($AE61&gt;=$AE62,$W61,$W62)</f>
        <v>Russia</v>
      </c>
      <c r="AG61" s="1">
        <f>VLOOKUP($AF61,$W59:$AE62,9,FALSE)</f>
        <v>0</v>
      </c>
      <c r="AH61" s="1" t="str">
        <f>IF($AG61&lt;=$AG59,$AF61,$AF59)</f>
        <v>Russia</v>
      </c>
      <c r="AI61" s="1">
        <f>VLOOKUP($AH61,$W59:$AE62,9,FALSE)</f>
        <v>0</v>
      </c>
      <c r="AJ61" s="1" t="str">
        <f>IF($AI61&lt;=$AI60,$AH61,$AH60)</f>
        <v>Russia</v>
      </c>
      <c r="AK61" s="1">
        <f>VLOOKUP($AJ61,$W59:$AE62,9,FALSE)</f>
        <v>0</v>
      </c>
      <c r="AL61" s="1">
        <f>VLOOKUP($AJ61,$W59:$AE62,8,FALSE)</f>
        <v>0</v>
      </c>
      <c r="AM61" s="1" t="str">
        <f>IF(AND($AK61=$AK62,$AL62&gt;$AL61),$AJ62,$AJ61)</f>
        <v>Russia</v>
      </c>
      <c r="AN61" s="1">
        <f>VLOOKUP($AM61,$W59:$AE62,9,FALSE)</f>
        <v>0</v>
      </c>
      <c r="AO61" s="1">
        <f>VLOOKUP($AM61,$W59:$AE62,8,FALSE)</f>
        <v>0</v>
      </c>
      <c r="AP61" s="1" t="str">
        <f>IF(AND($AN59=$AN61,$AO61&gt;$AO59),$AM59,$AM61)</f>
        <v>Russia</v>
      </c>
      <c r="AQ61" s="1">
        <f>VLOOKUP($AP61,$W59:$AE62,9,FALSE)</f>
        <v>0</v>
      </c>
      <c r="AR61" s="1">
        <f>VLOOKUP($AP61,$W59:$AE62,8,FALSE)</f>
        <v>0</v>
      </c>
      <c r="AS61" s="1" t="str">
        <f>IF(AND($AQ60=$AQ61,$AR61&gt;$AR60),$AP60,$AP61)</f>
        <v>Russia</v>
      </c>
      <c r="AT61" s="1">
        <f>VLOOKUP($AS61,$W59:$AE62,9,FALSE)</f>
        <v>0</v>
      </c>
      <c r="AU61" s="1">
        <f>VLOOKUP($AS61,$W59:$AE62,8,FALSE)</f>
        <v>0</v>
      </c>
      <c r="AV61" s="1">
        <f>VLOOKUP($AS61,$W59:$AE62,6,FALSE)</f>
        <v>0</v>
      </c>
      <c r="AW61" s="1" t="str">
        <f>IF(AND($AT61=$AT62,$AU61=$AU62,$AV62&gt;$AV61),$AS62,$AS61)</f>
        <v>Russia</v>
      </c>
      <c r="AX61" s="1">
        <f>VLOOKUP($AW61,$W59:$AE62,9,FALSE)</f>
        <v>0</v>
      </c>
      <c r="AY61" s="1">
        <f>VLOOKUP($AW61,$W59:$AE62,8,FALSE)</f>
        <v>0</v>
      </c>
      <c r="AZ61" s="1">
        <f>VLOOKUP($AW61,$W59:$AE62,6,FALSE)</f>
        <v>0</v>
      </c>
      <c r="BA61" s="1" t="str">
        <f>IF(AND($AX59=$AX61,$AY59=$AY61,$AZ60&gt;$AZ59),$AW59,$AW61)</f>
        <v>Russia</v>
      </c>
      <c r="BB61" s="1">
        <f>VLOOKUP($BA61,$W59:$AE62,9,FALSE)</f>
        <v>0</v>
      </c>
      <c r="BC61" s="1">
        <f>VLOOKUP($BA61,$W59:$AE62,8,FALSE)</f>
        <v>0</v>
      </c>
      <c r="BD61" s="1">
        <f>VLOOKUP($BA61,$W59:$AE62,6,FALSE)</f>
        <v>0</v>
      </c>
      <c r="BE61" s="1" t="str">
        <f>IF(AND($BB60=$BB61,$BC60=$BC61,$BD61&gt;$BD60),$BA60,$BA61)</f>
        <v>Russia</v>
      </c>
      <c r="BF61" s="1">
        <f>VLOOKUP($BE61,$W59:$AE62,9,FALSE)</f>
        <v>0</v>
      </c>
      <c r="BG61" s="1">
        <f>VLOOKUP($BE61,$W59:$AE62,8,FALSE)</f>
        <v>0</v>
      </c>
      <c r="BH61" s="1">
        <f>VLOOKUP($BE61,$W59:$AE62,6,FALSE)</f>
        <v>0</v>
      </c>
      <c r="BL61" s="1" t="str">
        <f>BE61</f>
        <v>Russia</v>
      </c>
      <c r="BM61" s="1">
        <f>VLOOKUP($BL61,$W59:$AE62,2,FALSE)</f>
        <v>0</v>
      </c>
      <c r="BN61" s="1">
        <f>VLOOKUP($BL61,$W59:$AE62,3,FALSE)</f>
        <v>0</v>
      </c>
      <c r="BO61" s="1">
        <f>VLOOKUP($BL61,$W59:$AE62,4,FALSE)</f>
        <v>0</v>
      </c>
      <c r="BP61" s="1">
        <f>VLOOKUP($BL61,$W59:$AE62,5,FALSE)</f>
        <v>0</v>
      </c>
      <c r="BQ61" s="1">
        <f>VLOOKUP($BL61,$W59:$AE62,6,FALSE)</f>
        <v>0</v>
      </c>
      <c r="BR61" s="1">
        <f>VLOOKUP($BL61,$W59:$AE62,7,FALSE)</f>
        <v>0</v>
      </c>
      <c r="BS61" s="1">
        <f>VLOOKUP($BL61,$W59:$AE62,8,FALSE)</f>
        <v>0</v>
      </c>
      <c r="BT61" s="1">
        <f>VLOOKUP($BL61,$W59:$AE62,9,FALSE)</f>
        <v>0</v>
      </c>
    </row>
    <row r="62" spans="2:72" ht="13.5" thickBot="1">
      <c r="B62" s="24">
        <v>42522</v>
      </c>
      <c r="C62" s="25">
        <v>0.6458333333333334</v>
      </c>
      <c r="D62" s="29" t="str">
        <f>IF(N43=3,M43,"Winner F")</f>
        <v>Winner F</v>
      </c>
      <c r="E62" s="13"/>
      <c r="F62" s="14"/>
      <c r="G62" s="23" t="str">
        <f>IF(N7=3,M7,"Runner-Up A")</f>
        <v>Runner-Up A</v>
      </c>
      <c r="H62" s="1" t="s">
        <v>64</v>
      </c>
      <c r="J62" s="1" t="str">
        <f>IF(E62&lt;&gt;"",IF(E62&gt;F62,D62,IF(F62&gt;E62,G62,"Draw")),"Second Rd 3")</f>
        <v>Second Rd 3</v>
      </c>
      <c r="W62" s="1" t="s">
        <v>102</v>
      </c>
      <c r="X62" s="1">
        <f>COUNT(Tunisia_Played)</f>
        <v>0</v>
      </c>
      <c r="Y62" s="1">
        <f>COUNTIF(Groupstage_Winners,"Tunisia")</f>
        <v>0</v>
      </c>
      <c r="Z62" s="1">
        <f>COUNTIF(Groupstage_Losers,"Tunisia")</f>
        <v>0</v>
      </c>
      <c r="AA62" s="1">
        <f>X62-(Y62+Z62)</f>
        <v>0</v>
      </c>
      <c r="AB62" s="1">
        <f>SUM(Tunisia_Played)</f>
        <v>0</v>
      </c>
      <c r="AC62" s="1">
        <f>SUM(Tunisia_Against)</f>
        <v>0</v>
      </c>
      <c r="AD62" s="1">
        <f>AB62-AC62</f>
        <v>0</v>
      </c>
      <c r="AE62" s="1">
        <f>Y62*Winpoints+AA62*Drawpoints</f>
        <v>0</v>
      </c>
      <c r="AF62" s="1" t="str">
        <f>IF($AE62&lt;=$AE61,$W62,$W61)</f>
        <v>Tunisia</v>
      </c>
      <c r="AG62" s="1">
        <f>VLOOKUP($AF62,$W59:$AE62,9,FALSE)</f>
        <v>0</v>
      </c>
      <c r="AH62" s="1" t="str">
        <f>IF(AG62&lt;=AG60,AF62,AF60)</f>
        <v>Tunisia</v>
      </c>
      <c r="AI62" s="1">
        <f>VLOOKUP($AH62,$W59:$AE62,9,FALSE)</f>
        <v>0</v>
      </c>
      <c r="AJ62" s="1" t="str">
        <f>IF($AI62&lt;=$AI59,$AH62,$AH59)</f>
        <v>Tunisia</v>
      </c>
      <c r="AK62" s="1">
        <f>VLOOKUP($AJ62,$W59:$AE62,9,FALSE)</f>
        <v>0</v>
      </c>
      <c r="AL62" s="1">
        <f>VLOOKUP($AJ62,$W59:$AE62,8,FALSE)</f>
        <v>0</v>
      </c>
      <c r="AM62" s="1" t="str">
        <f>IF(AND($AK61=$AK62,$AL62&gt;$AL61),$AJ61,$AJ62)</f>
        <v>Tunisia</v>
      </c>
      <c r="AN62" s="1">
        <f>VLOOKUP($AM62,$W59:$AE62,9,FALSE)</f>
        <v>0</v>
      </c>
      <c r="AO62" s="1">
        <f>VLOOKUP($AM62,$W59:$AE62,8,FALSE)</f>
        <v>0</v>
      </c>
      <c r="AP62" s="1" t="str">
        <f>IF(AND($AN60=$AN62,$AO62&gt;$AO60),$AM60,$AM62)</f>
        <v>Tunisia</v>
      </c>
      <c r="AQ62" s="1">
        <f>VLOOKUP($AP62,$W59:$AE62,9,FALSE)</f>
        <v>0</v>
      </c>
      <c r="AR62" s="1">
        <f>VLOOKUP($AP62,$W59:$AE62,8,FALSE)</f>
        <v>0</v>
      </c>
      <c r="AS62" s="1" t="str">
        <f>IF(AND($AQ59=$AQ62,$AR62&gt;$AR59),$AP59,$AP62)</f>
        <v>Tunisia</v>
      </c>
      <c r="AT62" s="1">
        <f>VLOOKUP($AS62,$W59:$AE62,9,FALSE)</f>
        <v>0</v>
      </c>
      <c r="AU62" s="1">
        <f>VLOOKUP($AS62,$W59:$AE62,8,FALSE)</f>
        <v>0</v>
      </c>
      <c r="AV62" s="1">
        <f>VLOOKUP($AS62,$W59:$AE62,6,FALSE)</f>
        <v>0</v>
      </c>
      <c r="AW62" s="1" t="str">
        <f>IF(AND($AT61=$AT62,$AU61=$AU62,$AV62&gt;$AV61),$AS61,$AS62)</f>
        <v>Tunisia</v>
      </c>
      <c r="AX62" s="1">
        <f>VLOOKUP($AW62,$W59:$AE62,9,FALSE)</f>
        <v>0</v>
      </c>
      <c r="AY62" s="1">
        <f>VLOOKUP($AW62,$W59:$AE62,8,FALSE)</f>
        <v>0</v>
      </c>
      <c r="AZ62" s="1">
        <f>VLOOKUP($AW62,$W59:$AE62,6,FALSE)</f>
        <v>0</v>
      </c>
      <c r="BA62" s="1" t="str">
        <f>IF(AND($AX60=$AX62,$AY60=$AY62,$AZ62&gt;$AZ60),$AW60,$AW62)</f>
        <v>Tunisia</v>
      </c>
      <c r="BB62" s="1">
        <f>VLOOKUP($BA62,$W59:$AE62,9,FALSE)</f>
        <v>0</v>
      </c>
      <c r="BC62" s="1">
        <f>VLOOKUP($BA62,$W59:$AE62,8,FALSE)</f>
        <v>0</v>
      </c>
      <c r="BD62" s="1">
        <f>VLOOKUP($BA62,$W59:$AE62,6,FALSE)</f>
        <v>0</v>
      </c>
      <c r="BE62" s="1" t="str">
        <f>IF(AND($BB59=$BB62,$BC59=$BC62,$BD62&gt;$BD59),$BA59,$BA62)</f>
        <v>Tunisia</v>
      </c>
      <c r="BF62" s="1">
        <f>VLOOKUP($BE62,$W59:$AE62,9,FALSE)</f>
        <v>0</v>
      </c>
      <c r="BG62" s="1">
        <f>VLOOKUP($BE62,$W59:$AE62,8,FALSE)</f>
        <v>0</v>
      </c>
      <c r="BH62" s="1">
        <f>VLOOKUP($BE62,$W59:$AE62,6,FALSE)</f>
        <v>0</v>
      </c>
      <c r="BL62" s="1" t="str">
        <f>BE62</f>
        <v>Tunisia</v>
      </c>
      <c r="BM62" s="1">
        <f>VLOOKUP($BL62,$W59:$AE62,2,FALSE)</f>
        <v>0</v>
      </c>
      <c r="BN62" s="1">
        <f>VLOOKUP($BL62,$W59:$AE62,3,FALSE)</f>
        <v>0</v>
      </c>
      <c r="BO62" s="1">
        <f>VLOOKUP($BL62,$W59:$AE62,4,FALSE)</f>
        <v>0</v>
      </c>
      <c r="BP62" s="1">
        <f>VLOOKUP($BL62,$W59:$AE62,5,FALSE)</f>
        <v>0</v>
      </c>
      <c r="BQ62" s="1">
        <f>VLOOKUP($BL62,$W59:$AE62,6,FALSE)</f>
        <v>0</v>
      </c>
      <c r="BR62" s="1">
        <f>VLOOKUP($BL62,$W59:$AE62,7,FALSE)</f>
        <v>0</v>
      </c>
      <c r="BS62" s="1">
        <f>VLOOKUP($BL62,$W59:$AE62,8,FALSE)</f>
        <v>0</v>
      </c>
      <c r="BT62" s="1">
        <f>VLOOKUP($BL62,$W59:$AE62,9,FALSE)</f>
        <v>0</v>
      </c>
    </row>
    <row r="63" spans="2:10" ht="13.5" thickBot="1">
      <c r="B63" s="24">
        <v>42522</v>
      </c>
      <c r="C63" s="25">
        <v>0.8541666666666666</v>
      </c>
      <c r="D63" s="29" t="str">
        <f>IF(N13=3,M13,"Winner B")</f>
        <v>Winner B</v>
      </c>
      <c r="E63" s="13"/>
      <c r="F63" s="14"/>
      <c r="G63" s="23" t="str">
        <f>IF(N37=3,M37,"Runner-Up E")</f>
        <v>Runner-Up E</v>
      </c>
      <c r="H63" s="1" t="s">
        <v>57</v>
      </c>
      <c r="J63" s="1" t="str">
        <f>IF(E63&lt;&gt;"",IF(E63&gt;F63,D63,IF(F63&gt;E63,G63,"Draw")),"Second Rd 4")</f>
        <v>Second Rd 4</v>
      </c>
    </row>
    <row r="64" spans="2:10" ht="13.5" thickBot="1">
      <c r="B64" s="24">
        <v>42887</v>
      </c>
      <c r="C64" s="25">
        <v>0.6458333333333334</v>
      </c>
      <c r="D64" s="29" t="str">
        <f>IF(N50=3,M50,"Winner G")</f>
        <v>Winner G</v>
      </c>
      <c r="E64" s="13"/>
      <c r="F64" s="14"/>
      <c r="G64" s="23" t="str">
        <f>IF(N28=3,M28,"Runner-Up D")</f>
        <v>Runner-Up D</v>
      </c>
      <c r="H64" s="1" t="s">
        <v>59</v>
      </c>
      <c r="J64" s="1" t="str">
        <f>IF(E64&lt;&gt;"",IF(E64&gt;F64,D64,IF(F64&gt;E64,G64,"Draw")),"Second Rd 5")</f>
        <v>Second Rd 5</v>
      </c>
    </row>
    <row r="65" spans="2:10" ht="13.5" thickBot="1">
      <c r="B65" s="24">
        <v>42887</v>
      </c>
      <c r="C65" s="25">
        <v>0.8541666666666666</v>
      </c>
      <c r="D65" s="29" t="str">
        <f>IF(N20=3,M20,"Winner C")</f>
        <v>Winner C</v>
      </c>
      <c r="E65" s="13"/>
      <c r="F65" s="14"/>
      <c r="G65" s="23" t="str">
        <f>IF(N58=3,M58,"Runner-Up H")</f>
        <v>Runner-Up H</v>
      </c>
      <c r="H65" s="1" t="s">
        <v>56</v>
      </c>
      <c r="J65" s="1" t="str">
        <f>IF(E65&lt;&gt;"",IF(E65&gt;F65,D65,IF(F65&gt;E65,G65,"Draw")),"Second Rd 6")</f>
        <v>Second Rd 6</v>
      </c>
    </row>
    <row r="66" spans="2:10" ht="13.5" thickBot="1">
      <c r="B66" s="24">
        <v>43252</v>
      </c>
      <c r="C66" s="25">
        <v>0.6458333333333334</v>
      </c>
      <c r="D66" s="29" t="str">
        <f>IF(N57=3,M57,"Winner H")</f>
        <v>Winner H</v>
      </c>
      <c r="E66" s="13"/>
      <c r="F66" s="14"/>
      <c r="G66" s="23" t="str">
        <f>IF(N21=3,M21,"Runner-Up C")</f>
        <v>Runner-Up C</v>
      </c>
      <c r="H66" s="1" t="s">
        <v>62</v>
      </c>
      <c r="J66" s="1" t="str">
        <f>IF(E66&lt;&gt;"",IF(E66&gt;F66,D66,IF(F66&gt;E66,G66,"Draw")),"Second Rd 7")</f>
        <v>Second Rd 7</v>
      </c>
    </row>
    <row r="67" spans="2:10" ht="13.5" thickBot="1">
      <c r="B67" s="24">
        <v>43252</v>
      </c>
      <c r="C67" s="25">
        <v>0.8541666666666666</v>
      </c>
      <c r="D67" s="29" t="str">
        <f>IF(N27=3,M27,"Winner D")</f>
        <v>Winner D</v>
      </c>
      <c r="E67" s="13"/>
      <c r="F67" s="14"/>
      <c r="G67" s="23" t="str">
        <f>IF(N51=3,M51,"Runner-Up G")</f>
        <v>Runner-Up G</v>
      </c>
      <c r="H67" s="1" t="s">
        <v>69</v>
      </c>
      <c r="J67" s="1" t="str">
        <f>IF(E67&lt;&gt;"",IF(E67&gt;F67,D67,IF(F67&gt;E67,G67,"Draw")),"Second Rd 8")</f>
        <v>Second Rd 8</v>
      </c>
    </row>
    <row r="69" ht="12.75"/>
    <row r="70" spans="2:9" ht="15">
      <c r="B70" s="30" t="s">
        <v>35</v>
      </c>
      <c r="C70" s="31"/>
      <c r="D70" s="31"/>
      <c r="E70" s="31"/>
      <c r="F70" s="31"/>
      <c r="G70" s="31"/>
      <c r="H70" s="31"/>
      <c r="I70" s="32"/>
    </row>
    <row r="71" spans="2:9" ht="15">
      <c r="B71" s="34" t="s">
        <v>14</v>
      </c>
      <c r="C71" s="35" t="s">
        <v>15</v>
      </c>
      <c r="D71" s="36"/>
      <c r="E71" s="36"/>
      <c r="F71" s="36"/>
      <c r="G71" s="36"/>
      <c r="H71" s="36" t="s">
        <v>16</v>
      </c>
      <c r="I71" s="37"/>
    </row>
    <row r="72" ht="13.5" thickBot="1"/>
    <row r="73" spans="2:10" ht="13.5" thickBot="1">
      <c r="B73" s="24">
        <v>44348</v>
      </c>
      <c r="C73" s="25">
        <v>0.6458333333333334</v>
      </c>
      <c r="D73" s="29" t="str">
        <f>J61</f>
        <v>Second Rd 2</v>
      </c>
      <c r="E73" s="13"/>
      <c r="F73" s="14"/>
      <c r="G73" s="23" t="str">
        <f>J65</f>
        <v>Second Rd 6</v>
      </c>
      <c r="H73" s="1" t="s">
        <v>65</v>
      </c>
      <c r="J73" s="1" t="str">
        <f>IF(E73&lt;&gt;"",IF(E73&gt;F73,D73,IF(F73&gt;E73,G73,"Draw")),"Quarter-Final 1")</f>
        <v>Quarter-Final 1</v>
      </c>
    </row>
    <row r="74" spans="2:10" ht="13.5" thickBot="1">
      <c r="B74" s="24">
        <v>44348</v>
      </c>
      <c r="C74" s="25">
        <v>0.8541666666666666</v>
      </c>
      <c r="D74" s="29" t="str">
        <f>J60</f>
        <v>Second Rd 1</v>
      </c>
      <c r="E74" s="13"/>
      <c r="F74" s="14"/>
      <c r="G74" s="23" t="str">
        <f>J64</f>
        <v>Second Rd 5</v>
      </c>
      <c r="H74" s="1" t="s">
        <v>45</v>
      </c>
      <c r="J74" s="1" t="str">
        <f>IF(E74&lt;&gt;"",IF(E74&gt;F74,D74,IF(F74&gt;E74,G74,"Draw")),"Quarter-Final 2")</f>
        <v>Quarter-Final 2</v>
      </c>
    </row>
    <row r="75" spans="2:10" ht="13.5" thickBot="1">
      <c r="B75" s="24">
        <v>44713</v>
      </c>
      <c r="C75" s="25">
        <v>0.6458333333333334</v>
      </c>
      <c r="D75" s="29" t="str">
        <f>J63</f>
        <v>Second Rd 4</v>
      </c>
      <c r="E75" s="13"/>
      <c r="F75" s="14"/>
      <c r="G75" s="23" t="str">
        <f>J67</f>
        <v>Second Rd 8</v>
      </c>
      <c r="H75" s="1" t="s">
        <v>51</v>
      </c>
      <c r="J75" s="1" t="str">
        <f>IF(E75&lt;&gt;"",IF(E75&gt;F75,D75,IF(F75&gt;E75,G75,"Draw")),"Quarter-Final 3")</f>
        <v>Quarter-Final 3</v>
      </c>
    </row>
    <row r="76" spans="2:10" ht="13.5" thickBot="1">
      <c r="B76" s="24">
        <v>44713</v>
      </c>
      <c r="C76" s="25">
        <v>0.8541666666666666</v>
      </c>
      <c r="D76" s="29" t="str">
        <f>J62</f>
        <v>Second Rd 3</v>
      </c>
      <c r="E76" s="13"/>
      <c r="F76" s="14"/>
      <c r="G76" s="23" t="str">
        <f>J66</f>
        <v>Second Rd 7</v>
      </c>
      <c r="H76" s="1" t="s">
        <v>66</v>
      </c>
      <c r="J76" s="1" t="str">
        <f>IF(E76&lt;&gt;"",IF(E76&gt;F76,D76,IF(F76&gt;E76,G76,"Draw")),"Quarter-Final 4")</f>
        <v>Quarter-Final 4</v>
      </c>
    </row>
    <row r="77" spans="2:6" ht="12.75">
      <c r="B77" s="24"/>
      <c r="C77" s="25"/>
      <c r="E77" s="12"/>
      <c r="F77" s="15"/>
    </row>
    <row r="78" ht="12.75"/>
    <row r="79" spans="2:9" ht="15">
      <c r="B79" s="30" t="s">
        <v>36</v>
      </c>
      <c r="C79" s="31"/>
      <c r="D79" s="31"/>
      <c r="E79" s="31"/>
      <c r="F79" s="31"/>
      <c r="G79" s="31"/>
      <c r="H79" s="31"/>
      <c r="I79" s="32"/>
    </row>
    <row r="80" spans="2:9" ht="15">
      <c r="B80" s="34" t="s">
        <v>14</v>
      </c>
      <c r="C80" s="35" t="s">
        <v>15</v>
      </c>
      <c r="D80" s="36"/>
      <c r="E80" s="36"/>
      <c r="F80" s="36"/>
      <c r="G80" s="36"/>
      <c r="H80" s="36" t="s">
        <v>16</v>
      </c>
      <c r="I80" s="37"/>
    </row>
    <row r="81" ht="13.5" thickBot="1"/>
    <row r="82" spans="2:10" ht="13.5" thickBot="1">
      <c r="B82" s="24">
        <v>45809</v>
      </c>
      <c r="C82" s="25">
        <v>0.8541666666666666</v>
      </c>
      <c r="D82" s="29" t="str">
        <f>J74</f>
        <v>Quarter-Final 2</v>
      </c>
      <c r="E82" s="13"/>
      <c r="F82" s="14"/>
      <c r="G82" s="23" t="str">
        <f>J75</f>
        <v>Quarter-Final 3</v>
      </c>
      <c r="H82" s="1" t="s">
        <v>43</v>
      </c>
      <c r="J82" s="1" t="str">
        <f>IF(E82&lt;&gt;"",IF(E82&gt;F82,D82,IF(F82&gt;E82,G82,"Draw")),"Semi-Final 1")</f>
        <v>Semi-Final 1</v>
      </c>
    </row>
    <row r="83" spans="2:10" ht="13.5" thickBot="1">
      <c r="B83" s="24">
        <v>46174</v>
      </c>
      <c r="C83" s="25">
        <v>0.8541666666666666</v>
      </c>
      <c r="D83" s="29" t="str">
        <f>J73</f>
        <v>Quarter-Final 1</v>
      </c>
      <c r="E83" s="13"/>
      <c r="F83" s="14"/>
      <c r="G83" s="23" t="str">
        <f>J76</f>
        <v>Quarter-Final 4</v>
      </c>
      <c r="H83" s="1" t="s">
        <v>48</v>
      </c>
      <c r="J83" s="1" t="str">
        <f>IF(E83&lt;&gt;"",IF(E83&gt;F83,D83,IF(F83&gt;E83,G83,"Draw")),"Semi-Final 2")</f>
        <v>Semi-Final 2</v>
      </c>
    </row>
    <row r="84" ht="12.75"/>
    <row r="85" ht="12.75"/>
    <row r="86" spans="2:10" ht="15">
      <c r="B86" s="30" t="s">
        <v>37</v>
      </c>
      <c r="C86" s="31"/>
      <c r="D86" s="31"/>
      <c r="E86" s="31"/>
      <c r="F86" s="31"/>
      <c r="G86" s="31"/>
      <c r="H86" s="31"/>
      <c r="I86" s="32"/>
      <c r="J86" s="1">
        <f>IF(E89&lt;&gt;"",IF(E89&gt;F89,D89,IF(F89&gt;E89,G89,"Draw")),"")</f>
      </c>
    </row>
    <row r="87" spans="2:9" ht="15">
      <c r="B87" s="34" t="s">
        <v>14</v>
      </c>
      <c r="C87" s="35" t="s">
        <v>15</v>
      </c>
      <c r="D87" s="36"/>
      <c r="E87" s="36"/>
      <c r="F87" s="36"/>
      <c r="G87" s="36"/>
      <c r="H87" s="36" t="s">
        <v>16</v>
      </c>
      <c r="I87" s="37"/>
    </row>
    <row r="88" ht="13.5" thickBot="1"/>
    <row r="89" spans="2:8" ht="13.5" thickBot="1">
      <c r="B89" s="24">
        <v>47665</v>
      </c>
      <c r="C89" s="25">
        <v>0.8333333333333334</v>
      </c>
      <c r="D89" s="29" t="str">
        <f>J82</f>
        <v>Semi-Final 1</v>
      </c>
      <c r="E89" s="13"/>
      <c r="F89" s="14"/>
      <c r="G89" s="23" t="str">
        <f>J83</f>
        <v>Semi-Final 2</v>
      </c>
      <c r="H89" s="1" t="s">
        <v>63</v>
      </c>
    </row>
    <row r="91" spans="3:4" ht="18">
      <c r="C91" s="26" t="s">
        <v>38</v>
      </c>
      <c r="D91" s="27">
        <f>J86</f>
      </c>
    </row>
  </sheetData>
  <sheetProtection password="CBEB" objects="1"/>
  <printOptions/>
  <pageMargins left="0.75" right="0.75" top="0.57" bottom="0.55" header="0.5" footer="0.5"/>
  <pageSetup fitToHeight="1" fitToWidth="1" horizontalDpi="360" verticalDpi="360" orientation="portrait" paperSize="9" scale="60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</cols>
  <sheetData>
    <row r="2" ht="12.75">
      <c r="A2" t="s">
        <v>39</v>
      </c>
    </row>
    <row r="4" spans="1:2" ht="12.75">
      <c r="A4" t="s">
        <v>40</v>
      </c>
      <c r="B4">
        <v>3</v>
      </c>
    </row>
    <row r="5" spans="1:2" ht="12.75">
      <c r="A5" t="s">
        <v>41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/>
  <cp:keywords/>
  <dc:description>I hope this works out the points correctly.  I reckon the only reason it wouldn't work is if a pair of teams cannot be separated by point, goal difference or goals scored.    Cheers.</dc:description>
  <cp:lastModifiedBy>Hisham</cp:lastModifiedBy>
  <cp:lastPrinted>2001-12-02T02:49:12Z</cp:lastPrinted>
  <dcterms:created xsi:type="dcterms:W3CDTF">2000-05-07T15:11:05Z</dcterms:created>
  <dcterms:modified xsi:type="dcterms:W3CDTF">2002-01-08T13:43:38Z</dcterms:modified>
  <cp:category/>
  <cp:version/>
  <cp:contentType/>
  <cp:contentStatus/>
</cp:coreProperties>
</file>